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tacsar/Desktop/"/>
    </mc:Choice>
  </mc:AlternateContent>
  <xr:revisionPtr revIDLastSave="0" documentId="8_{BC551EC4-35B4-0C48-9C13-CB0080C877D6}" xr6:coauthVersionLast="47" xr6:coauthVersionMax="47" xr10:uidLastSave="{00000000-0000-0000-0000-000000000000}"/>
  <bookViews>
    <workbookView xWindow="0" yWindow="460" windowWidth="28800" windowHeight="15840" activeTab="1" xr2:uid="{E2FEFA15-F80E-4159-AC4A-8EBAD06A1551}"/>
  </bookViews>
  <sheets>
    <sheet name="Allocation &amp; CF" sheetId="2" r:id="rId1"/>
    <sheet name="Beneficiary Contacts" sheetId="7" r:id="rId2"/>
    <sheet name="Targeted Beneficiary Funding" sheetId="3" r:id="rId3"/>
    <sheet name="Income" sheetId="1" r:id="rId4"/>
    <sheet name="Student Org Allocations" sheetId="4" r:id="rId5"/>
    <sheet name="SE 2018-2022" sheetId="5" r:id="rId6"/>
    <sheet name="SE 2022-2025" sheetId="6" r:id="rId7"/>
  </sheets>
  <definedNames>
    <definedName name="_xlnm._FilterDatabase" localSheetId="0" hidden="1">'Allocation &amp; CF'!$A$1:$AC$7</definedName>
    <definedName name="_xlnm._FilterDatabase" localSheetId="6" hidden="1">'SE 2022-2025'!$A$1:$W$35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9" i="2" l="1"/>
  <c r="E28" i="6"/>
  <c r="D28" i="6"/>
  <c r="W26" i="6" l="1"/>
  <c r="W27" i="6"/>
  <c r="X26" i="6"/>
  <c r="X22" i="6"/>
  <c r="X20" i="6"/>
  <c r="X19" i="6"/>
  <c r="W19" i="6"/>
  <c r="X18" i="6"/>
  <c r="X17" i="6"/>
  <c r="W17" i="6"/>
  <c r="X16" i="6"/>
  <c r="X10" i="6"/>
  <c r="W10" i="6"/>
  <c r="X4" i="6"/>
  <c r="X3" i="6"/>
  <c r="X5" i="6"/>
  <c r="X6" i="6"/>
  <c r="X7" i="6"/>
  <c r="X8" i="6"/>
  <c r="X9" i="6"/>
  <c r="X11" i="6"/>
  <c r="X12" i="6"/>
  <c r="X13" i="6"/>
  <c r="X14" i="6"/>
  <c r="X15" i="6"/>
  <c r="X21" i="6"/>
  <c r="X23" i="6"/>
  <c r="X24" i="6"/>
  <c r="X25" i="6"/>
  <c r="X28" i="6"/>
  <c r="X2" i="6"/>
  <c r="W20" i="6"/>
  <c r="W18" i="6"/>
  <c r="W4" i="6"/>
  <c r="W3" i="6"/>
  <c r="W2" i="6"/>
  <c r="W13" i="6"/>
  <c r="W11" i="6"/>
  <c r="W12" i="6"/>
  <c r="W22" i="6"/>
  <c r="W16" i="6"/>
  <c r="W28" i="6"/>
  <c r="W25" i="6"/>
  <c r="W24" i="6"/>
  <c r="W23" i="6"/>
  <c r="W21" i="6"/>
  <c r="W15" i="6"/>
  <c r="W14" i="6"/>
  <c r="W9" i="6"/>
  <c r="W8" i="6"/>
  <c r="W7" i="6"/>
  <c r="W6" i="6"/>
  <c r="W5" i="6"/>
  <c r="AL19" i="2"/>
  <c r="AM7" i="2"/>
  <c r="AL7" i="2"/>
  <c r="AN7" i="2" s="1"/>
  <c r="AM22" i="2" s="1"/>
  <c r="AL6" i="2"/>
  <c r="AN6" i="2" s="1"/>
  <c r="AQ6" i="2" s="1"/>
  <c r="U1" i="6" s="1"/>
  <c r="V2" i="6"/>
  <c r="U2" i="6"/>
  <c r="R3" i="6"/>
  <c r="AM10" i="2"/>
  <c r="AM21" i="2"/>
  <c r="AR6" i="2"/>
  <c r="AC6" i="2"/>
  <c r="AN16" i="2"/>
  <c r="AQ16" i="2" s="1"/>
  <c r="C18" i="3"/>
  <c r="E38" i="3"/>
  <c r="E37" i="3"/>
  <c r="C37" i="3"/>
  <c r="R26" i="6" l="1"/>
  <c r="E31" i="6" l="1"/>
  <c r="E25" i="6" s="1"/>
  <c r="E27" i="6"/>
  <c r="V27" i="6" s="1"/>
  <c r="D27" i="6"/>
  <c r="E26" i="6"/>
  <c r="V26" i="6" s="1"/>
  <c r="D26" i="6"/>
  <c r="D24" i="6"/>
  <c r="V24" i="6" s="1"/>
  <c r="D23" i="6"/>
  <c r="D22" i="6"/>
  <c r="V21" i="6"/>
  <c r="D20" i="6"/>
  <c r="D19" i="6"/>
  <c r="D18" i="6"/>
  <c r="V18" i="6" s="1"/>
  <c r="D17" i="6"/>
  <c r="E16" i="6"/>
  <c r="V16" i="6" s="1"/>
  <c r="D16" i="6"/>
  <c r="D15" i="6"/>
  <c r="V14" i="6"/>
  <c r="D13" i="6"/>
  <c r="V13" i="6" s="1"/>
  <c r="D12" i="6"/>
  <c r="V12" i="6" s="1"/>
  <c r="V11" i="6"/>
  <c r="E10" i="6"/>
  <c r="D10" i="6" s="1"/>
  <c r="V9" i="6"/>
  <c r="V8" i="6"/>
  <c r="V7" i="6"/>
  <c r="V6" i="6"/>
  <c r="V5" i="6"/>
  <c r="V4" i="6"/>
  <c r="V3" i="6"/>
  <c r="U3" i="6"/>
  <c r="E2" i="6"/>
  <c r="V15" i="6" l="1"/>
  <c r="V23" i="6"/>
  <c r="V20" i="6"/>
  <c r="D25" i="6"/>
  <c r="V10" i="6"/>
  <c r="V19" i="6"/>
  <c r="V22" i="6"/>
  <c r="V17" i="6"/>
  <c r="V28" i="6" l="1"/>
  <c r="V25" i="6"/>
  <c r="X3" i="2" l="1"/>
  <c r="A46" i="3" l="1"/>
  <c r="A28" i="3"/>
  <c r="C31" i="3"/>
  <c r="C30" i="3"/>
  <c r="C19" i="3"/>
  <c r="AE24" i="2"/>
  <c r="C32" i="3" l="1"/>
  <c r="AN17" i="2"/>
  <c r="AN12" i="2"/>
  <c r="AO13" i="2"/>
  <c r="AC21" i="2"/>
  <c r="AR17" i="2"/>
  <c r="AR12" i="2"/>
  <c r="A52" i="3"/>
  <c r="A51" i="3"/>
  <c r="A49" i="3"/>
  <c r="A48" i="3"/>
  <c r="H17" i="4"/>
  <c r="F17" i="4"/>
  <c r="I17" i="4"/>
  <c r="O14" i="2"/>
  <c r="AB16" i="2"/>
  <c r="AB14" i="2"/>
  <c r="AG7" i="2"/>
  <c r="AG6" i="2"/>
  <c r="AG5" i="2"/>
  <c r="AG4" i="2"/>
  <c r="AG3" i="2"/>
  <c r="D4" i="4"/>
  <c r="D5" i="4"/>
  <c r="D3" i="4"/>
  <c r="H3" i="4"/>
  <c r="H5" i="4"/>
  <c r="H4" i="4"/>
  <c r="C18" i="4"/>
  <c r="AO6" i="2" l="1"/>
  <c r="AQ12" i="2"/>
  <c r="AO12" i="2"/>
  <c r="AQ17" i="2"/>
  <c r="AO17" i="2"/>
  <c r="C33" i="3"/>
  <c r="A33" i="3" s="1"/>
  <c r="F31" i="3"/>
  <c r="E31" i="3" s="1"/>
  <c r="I5" i="1" l="1"/>
  <c r="D70" i="3"/>
  <c r="D73" i="3" s="1"/>
  <c r="C73" i="3" s="1"/>
  <c r="E70" i="3"/>
  <c r="E69" i="3"/>
  <c r="A72" i="3"/>
  <c r="C72" i="3"/>
  <c r="A73" i="3"/>
  <c r="A69" i="3"/>
  <c r="C69" i="3"/>
  <c r="A70" i="3"/>
  <c r="AB6" i="2"/>
  <c r="B29" i="5"/>
  <c r="B28" i="5"/>
  <c r="D28" i="5" s="1"/>
  <c r="B27" i="5"/>
  <c r="C74" i="3" l="1"/>
  <c r="C70" i="3"/>
  <c r="C71" i="3" s="1"/>
  <c r="A87" i="3"/>
  <c r="A86" i="3"/>
  <c r="A71" i="3" l="1"/>
  <c r="C75" i="3"/>
  <c r="A75" i="3" s="1"/>
  <c r="A74" i="3"/>
  <c r="C76" i="3"/>
  <c r="A76" i="3" s="1"/>
  <c r="AB4" i="2"/>
  <c r="AC30" i="2" s="1"/>
  <c r="AB5" i="2"/>
  <c r="AC29" i="2" s="1"/>
  <c r="A77" i="3" l="1"/>
  <c r="AM14" i="2" s="1"/>
  <c r="AE6" i="2"/>
  <c r="A66" i="3"/>
  <c r="A65" i="3"/>
  <c r="D22" i="3"/>
  <c r="A36" i="3"/>
  <c r="C21" i="3"/>
  <c r="AR14" i="2" l="1"/>
  <c r="AN14" i="2"/>
  <c r="A32" i="3"/>
  <c r="C19" i="4"/>
  <c r="B15" i="4"/>
  <c r="B14" i="4"/>
  <c r="B13" i="4"/>
  <c r="B11" i="4"/>
  <c r="B10" i="4"/>
  <c r="C9" i="4"/>
  <c r="B9" i="4"/>
  <c r="T12" i="2"/>
  <c r="C11" i="4" s="1"/>
  <c r="AC4" i="2"/>
  <c r="D80" i="3"/>
  <c r="D49" i="3"/>
  <c r="D38" i="3"/>
  <c r="D41" i="3" s="1"/>
  <c r="D9" i="4"/>
  <c r="D10" i="4"/>
  <c r="D11" i="4"/>
  <c r="D12" i="4"/>
  <c r="O12" i="2"/>
  <c r="B12" i="4" s="1"/>
  <c r="D13" i="4"/>
  <c r="C13" i="4"/>
  <c r="D14" i="4"/>
  <c r="D15" i="4"/>
  <c r="C15" i="4"/>
  <c r="X12" i="2"/>
  <c r="C10" i="4" s="1"/>
  <c r="K5" i="4"/>
  <c r="K4" i="4"/>
  <c r="K3" i="4"/>
  <c r="E5" i="4"/>
  <c r="E3" i="4"/>
  <c r="I5" i="4"/>
  <c r="I3" i="4"/>
  <c r="I4" i="4"/>
  <c r="E4" i="4"/>
  <c r="AQ14" i="2" l="1"/>
  <c r="AO14" i="2"/>
  <c r="P12" i="2"/>
  <c r="C12" i="4" s="1"/>
  <c r="D52" i="3"/>
  <c r="E52" i="3"/>
  <c r="E51" i="3"/>
  <c r="C51" i="3" s="1"/>
  <c r="E49" i="3"/>
  <c r="C49" i="3" s="1"/>
  <c r="E48" i="3"/>
  <c r="C48" i="3" s="1"/>
  <c r="A85" i="3"/>
  <c r="A88" i="3" s="1"/>
  <c r="AM3" i="2" s="1"/>
  <c r="A81" i="3"/>
  <c r="A79" i="3"/>
  <c r="A64" i="3"/>
  <c r="A63" i="3"/>
  <c r="A62" i="3"/>
  <c r="A61" i="3"/>
  <c r="A60" i="3"/>
  <c r="A59" i="3"/>
  <c r="A58" i="3"/>
  <c r="A67" i="3" s="1"/>
  <c r="AM16" i="2" s="1"/>
  <c r="A41" i="3"/>
  <c r="A40" i="3"/>
  <c r="A38" i="3"/>
  <c r="A37" i="3"/>
  <c r="A31" i="3"/>
  <c r="A15" i="3"/>
  <c r="A14" i="3"/>
  <c r="A6" i="3"/>
  <c r="E41" i="3"/>
  <c r="E22" i="3"/>
  <c r="C22" i="3" s="1"/>
  <c r="C23" i="3" s="1"/>
  <c r="E40" i="3"/>
  <c r="C40" i="3" s="1"/>
  <c r="E79" i="3"/>
  <c r="E80" i="3"/>
  <c r="AB3" i="2"/>
  <c r="AN3" i="2" l="1"/>
  <c r="AO3" i="2" s="1"/>
  <c r="A20" i="3"/>
  <c r="C26" i="3"/>
  <c r="A26" i="3" s="1"/>
  <c r="AR16" i="2"/>
  <c r="AR3" i="2"/>
  <c r="C50" i="3"/>
  <c r="C54" i="3" s="1"/>
  <c r="A54" i="3" s="1"/>
  <c r="C80" i="3"/>
  <c r="J81" i="3"/>
  <c r="J80" i="3"/>
  <c r="C38" i="3"/>
  <c r="J38" i="3"/>
  <c r="J39" i="3"/>
  <c r="C52" i="3"/>
  <c r="C53" i="3" s="1"/>
  <c r="C55" i="3" s="1"/>
  <c r="A55" i="3" s="1"/>
  <c r="C41" i="3"/>
  <c r="C42" i="3" s="1"/>
  <c r="C44" i="3" s="1"/>
  <c r="A7" i="3"/>
  <c r="A8" i="3"/>
  <c r="A9" i="3"/>
  <c r="AM15" i="2" s="1"/>
  <c r="A11" i="3"/>
  <c r="A12" i="3"/>
  <c r="A13" i="3"/>
  <c r="A18" i="3"/>
  <c r="AC3" i="2"/>
  <c r="AE3" i="2" s="1"/>
  <c r="AE17" i="2"/>
  <c r="AE4" i="2"/>
  <c r="H9" i="1"/>
  <c r="H8" i="1"/>
  <c r="AC28" i="2"/>
  <c r="AC31" i="2" s="1"/>
  <c r="X10" i="2"/>
  <c r="AB15" i="2"/>
  <c r="C79" i="3"/>
  <c r="C81" i="3" s="1"/>
  <c r="AO16" i="2" l="1"/>
  <c r="AQ3" i="2"/>
  <c r="A16" i="3"/>
  <c r="AM18" i="2" s="1"/>
  <c r="AN15" i="2"/>
  <c r="AR15" i="2"/>
  <c r="A80" i="3"/>
  <c r="C82" i="3"/>
  <c r="A82" i="3" s="1"/>
  <c r="A53" i="3"/>
  <c r="A50" i="3"/>
  <c r="A56" i="3" s="1"/>
  <c r="AM5" i="2" s="1"/>
  <c r="A42" i="3"/>
  <c r="A44" i="3"/>
  <c r="A27" i="3"/>
  <c r="A19" i="3"/>
  <c r="A21" i="3"/>
  <c r="A22" i="3"/>
  <c r="A24" i="3"/>
  <c r="A45" i="3"/>
  <c r="A30" i="3"/>
  <c r="A35" i="3"/>
  <c r="AE5" i="2"/>
  <c r="AC7" i="2"/>
  <c r="AC22" i="2" s="1"/>
  <c r="AC25" i="2" s="1"/>
  <c r="A2" i="3" s="1"/>
  <c r="AB7" i="2"/>
  <c r="AB19" i="2"/>
  <c r="G22" i="2"/>
  <c r="P3" i="2"/>
  <c r="E22" i="2" s="1"/>
  <c r="D3" i="2"/>
  <c r="AQ15" i="2" l="1"/>
  <c r="AO15" i="2"/>
  <c r="AN5" i="2"/>
  <c r="AR5" i="2"/>
  <c r="A83" i="3"/>
  <c r="AN18" i="2"/>
  <c r="AR18" i="2"/>
  <c r="C39" i="3"/>
  <c r="C43" i="3" s="1"/>
  <c r="AE7" i="2"/>
  <c r="AA7" i="2"/>
  <c r="C20" i="3"/>
  <c r="AQ18" i="2" l="1"/>
  <c r="AO18" i="2"/>
  <c r="AQ5" i="2"/>
  <c r="AO5" i="2"/>
  <c r="C25" i="3"/>
  <c r="A25" i="3" s="1"/>
  <c r="A39" i="3"/>
  <c r="A43" i="3"/>
  <c r="C24" i="3"/>
  <c r="A23" i="3"/>
  <c r="D4" i="2"/>
  <c r="AM11" i="2" l="1"/>
  <c r="B22" i="2"/>
  <c r="G27" i="2"/>
  <c r="L13" i="2"/>
  <c r="B23" i="2"/>
  <c r="X4" i="2"/>
  <c r="G23" i="2" s="1"/>
  <c r="X6" i="2"/>
  <c r="G25" i="2" s="1"/>
  <c r="X11" i="2"/>
  <c r="G28" i="2" s="1"/>
  <c r="G29" i="2"/>
  <c r="X13" i="2"/>
  <c r="X14" i="2"/>
  <c r="G31" i="2" s="1"/>
  <c r="X15" i="2"/>
  <c r="G32" i="2" s="1"/>
  <c r="X16" i="2"/>
  <c r="G33" i="2" s="1"/>
  <c r="X17" i="2"/>
  <c r="G34" i="2" s="1"/>
  <c r="X18" i="2"/>
  <c r="G35" i="2" s="1"/>
  <c r="T4" i="2"/>
  <c r="F23" i="2" s="1"/>
  <c r="T6" i="2"/>
  <c r="F25" i="2" s="1"/>
  <c r="T10" i="2"/>
  <c r="T11" i="2"/>
  <c r="F28" i="2" s="1"/>
  <c r="F29" i="2"/>
  <c r="T13" i="2"/>
  <c r="T14" i="2"/>
  <c r="F31" i="2" s="1"/>
  <c r="T15" i="2"/>
  <c r="F32" i="2" s="1"/>
  <c r="T16" i="2"/>
  <c r="F33" i="2" s="1"/>
  <c r="T17" i="2"/>
  <c r="F34" i="2" s="1"/>
  <c r="T18" i="2"/>
  <c r="F35" i="2" s="1"/>
  <c r="T3" i="2"/>
  <c r="F22" i="2" s="1"/>
  <c r="I22" i="2" s="1"/>
  <c r="P18" i="2"/>
  <c r="E35" i="2" s="1"/>
  <c r="P17" i="2"/>
  <c r="E34" i="2" s="1"/>
  <c r="P16" i="2"/>
  <c r="E33" i="2" s="1"/>
  <c r="P15" i="2"/>
  <c r="E32" i="2" s="1"/>
  <c r="P13" i="2"/>
  <c r="P11" i="2"/>
  <c r="E28" i="2" s="1"/>
  <c r="P10" i="2"/>
  <c r="E27" i="2" s="1"/>
  <c r="P6" i="2"/>
  <c r="P4" i="2"/>
  <c r="E23" i="2" s="1"/>
  <c r="L4" i="2"/>
  <c r="L5" i="2"/>
  <c r="L10" i="2"/>
  <c r="AH10" i="2" s="1"/>
  <c r="AC10" i="2" s="1"/>
  <c r="L11" i="2"/>
  <c r="L12" i="2"/>
  <c r="L14" i="2"/>
  <c r="L15" i="2"/>
  <c r="L16" i="2"/>
  <c r="D33" i="2" s="1"/>
  <c r="L17" i="2"/>
  <c r="AH17" i="2" s="1"/>
  <c r="L18" i="2"/>
  <c r="D35" i="2" s="1"/>
  <c r="L3" i="2"/>
  <c r="H11" i="2"/>
  <c r="C28" i="2" s="1"/>
  <c r="H12" i="2"/>
  <c r="H13" i="2"/>
  <c r="C30" i="2" s="1"/>
  <c r="H14" i="2"/>
  <c r="C31" i="2" s="1"/>
  <c r="H15" i="2"/>
  <c r="C32" i="2" s="1"/>
  <c r="H16" i="2"/>
  <c r="C33" i="2" s="1"/>
  <c r="H17" i="2"/>
  <c r="C34" i="2" s="1"/>
  <c r="H18" i="2"/>
  <c r="C35" i="2" s="1"/>
  <c r="H10" i="2"/>
  <c r="C27" i="2" s="1"/>
  <c r="H4" i="2"/>
  <c r="C23" i="2" s="1"/>
  <c r="H5" i="2"/>
  <c r="C24" i="2" s="1"/>
  <c r="H6" i="2"/>
  <c r="H3" i="2"/>
  <c r="C22" i="2" s="1"/>
  <c r="B5" i="2"/>
  <c r="B7" i="2" s="1"/>
  <c r="B19" i="2"/>
  <c r="D6" i="2"/>
  <c r="D10" i="2"/>
  <c r="B27" i="2" s="1"/>
  <c r="D11" i="2"/>
  <c r="B28" i="2" s="1"/>
  <c r="D12" i="2"/>
  <c r="B29" i="2" s="1"/>
  <c r="D13" i="2"/>
  <c r="B30" i="2" s="1"/>
  <c r="D14" i="2"/>
  <c r="B31" i="2" s="1"/>
  <c r="D15" i="2"/>
  <c r="B32" i="2" s="1"/>
  <c r="D16" i="2"/>
  <c r="B33" i="2" s="1"/>
  <c r="D17" i="2"/>
  <c r="B34" i="2" s="1"/>
  <c r="D18" i="2"/>
  <c r="B35" i="2" s="1"/>
  <c r="AH6" i="2" l="1"/>
  <c r="D31" i="2"/>
  <c r="AM4" i="2"/>
  <c r="AR4" i="2" s="1"/>
  <c r="A3" i="3"/>
  <c r="AR11" i="2"/>
  <c r="AN11" i="2"/>
  <c r="C29" i="2"/>
  <c r="H29" i="2" s="1"/>
  <c r="C14" i="4"/>
  <c r="C17" i="4" s="1"/>
  <c r="C20" i="4" s="1"/>
  <c r="D29" i="2"/>
  <c r="AH12" i="2"/>
  <c r="AE23" i="2" s="1"/>
  <c r="D22" i="2"/>
  <c r="H22" i="2" s="1"/>
  <c r="AH3" i="2"/>
  <c r="D24" i="2"/>
  <c r="D23" i="2"/>
  <c r="H23" i="2" s="1"/>
  <c r="AH4" i="2"/>
  <c r="AH15" i="2"/>
  <c r="AC15" i="2" s="1"/>
  <c r="AE15" i="2" s="1"/>
  <c r="E25" i="2"/>
  <c r="I23" i="2"/>
  <c r="I28" i="2"/>
  <c r="AH11" i="2"/>
  <c r="AE11" i="2" s="1"/>
  <c r="H31" i="2"/>
  <c r="T19" i="2"/>
  <c r="I35" i="2"/>
  <c r="I33" i="2"/>
  <c r="D30" i="2"/>
  <c r="H30" i="2" s="1"/>
  <c r="AH16" i="2"/>
  <c r="AC16" i="2" s="1"/>
  <c r="D34" i="2"/>
  <c r="H34" i="2" s="1"/>
  <c r="I34" i="2"/>
  <c r="I25" i="2"/>
  <c r="D32" i="2"/>
  <c r="H32" i="2" s="1"/>
  <c r="H33" i="2"/>
  <c r="I32" i="2"/>
  <c r="F27" i="2"/>
  <c r="I27" i="2" s="1"/>
  <c r="H35" i="2"/>
  <c r="D5" i="2"/>
  <c r="B24" i="2" s="1"/>
  <c r="D28" i="2"/>
  <c r="H28" i="2" s="1"/>
  <c r="AH18" i="2"/>
  <c r="AE18" i="2" s="1"/>
  <c r="D27" i="2"/>
  <c r="H27" i="2" s="1"/>
  <c r="X19" i="2"/>
  <c r="L19" i="2"/>
  <c r="L7" i="2"/>
  <c r="H19" i="2"/>
  <c r="H7" i="2"/>
  <c r="D19" i="2"/>
  <c r="U5" i="2"/>
  <c r="X5" i="2" s="1"/>
  <c r="G24" i="2" s="1"/>
  <c r="Q5" i="2"/>
  <c r="M7" i="2"/>
  <c r="AQ11" i="2" l="1"/>
  <c r="AO11" i="2"/>
  <c r="AN4" i="2"/>
  <c r="AE16" i="2"/>
  <c r="H24" i="2"/>
  <c r="C21" i="4"/>
  <c r="AC12" i="2" s="1"/>
  <c r="AE10" i="2"/>
  <c r="P5" i="2"/>
  <c r="AH5" i="2" s="1"/>
  <c r="T5" i="2"/>
  <c r="D7" i="2"/>
  <c r="X7" i="2"/>
  <c r="E19" i="2"/>
  <c r="F19" i="2"/>
  <c r="G19" i="2"/>
  <c r="I19" i="2"/>
  <c r="J19" i="2"/>
  <c r="K19" i="2"/>
  <c r="M19" i="2"/>
  <c r="N19" i="2"/>
  <c r="Q19" i="2"/>
  <c r="R19" i="2"/>
  <c r="S19" i="2"/>
  <c r="U19" i="2"/>
  <c r="V19" i="2"/>
  <c r="W19" i="2"/>
  <c r="Y19" i="2"/>
  <c r="Z19" i="2"/>
  <c r="AA19" i="2"/>
  <c r="E7" i="2"/>
  <c r="F7" i="2"/>
  <c r="G7" i="2"/>
  <c r="I7" i="2"/>
  <c r="J7" i="2"/>
  <c r="K7" i="2"/>
  <c r="N7" i="2"/>
  <c r="O7" i="2"/>
  <c r="Q7" i="2"/>
  <c r="R7" i="2"/>
  <c r="S7" i="2"/>
  <c r="U7" i="2"/>
  <c r="V7" i="2"/>
  <c r="W7" i="2"/>
  <c r="Y7" i="2"/>
  <c r="Z7" i="2"/>
  <c r="H2" i="1"/>
  <c r="G9" i="1"/>
  <c r="F9" i="1"/>
  <c r="C3" i="1"/>
  <c r="D4" i="1"/>
  <c r="B9" i="1"/>
  <c r="C2" i="1" s="1"/>
  <c r="C9" i="1" s="1"/>
  <c r="D2" i="1" s="1"/>
  <c r="F3" i="1"/>
  <c r="E3" i="1"/>
  <c r="C19" i="2"/>
  <c r="P14" i="2"/>
  <c r="AH14" i="2" s="1"/>
  <c r="C7" i="2"/>
  <c r="AQ4" i="2" l="1"/>
  <c r="AO4" i="2"/>
  <c r="AR7" i="2"/>
  <c r="AE12" i="2"/>
  <c r="T7" i="2"/>
  <c r="F24" i="2"/>
  <c r="E31" i="2"/>
  <c r="I31" i="2" s="1"/>
  <c r="AC14" i="2"/>
  <c r="E24" i="2"/>
  <c r="P7" i="2"/>
  <c r="AH7" i="2" s="1"/>
  <c r="E29" i="2"/>
  <c r="I29" i="2" s="1"/>
  <c r="O19" i="2"/>
  <c r="D9" i="1"/>
  <c r="AQ7" i="2" l="1"/>
  <c r="AO7" i="2"/>
  <c r="AE14" i="2"/>
  <c r="AC19" i="2"/>
  <c r="AE22" i="2" s="1"/>
  <c r="AH19" i="2"/>
  <c r="I24" i="2"/>
  <c r="P19" i="2"/>
  <c r="E2" i="1"/>
  <c r="E9" i="1" s="1"/>
  <c r="F2" i="1" s="1"/>
  <c r="G2" i="1" s="1"/>
  <c r="AD11" i="2" l="1"/>
  <c r="AD18" i="2"/>
  <c r="AD17" i="2"/>
  <c r="AD10" i="2"/>
  <c r="AD15" i="2"/>
  <c r="AD16" i="2"/>
  <c r="AD12" i="2"/>
  <c r="AD14" i="2"/>
  <c r="AC23" i="2"/>
  <c r="C3" i="3" s="1"/>
  <c r="AE19" i="2"/>
  <c r="C32" i="1"/>
  <c r="D18" i="1"/>
  <c r="AN10" i="2" l="1"/>
  <c r="AR10" i="2"/>
  <c r="AM19" i="2"/>
  <c r="AD19" i="2"/>
  <c r="E27" i="1"/>
  <c r="E32" i="1" s="1"/>
  <c r="E25" i="1"/>
  <c r="F32" i="1"/>
  <c r="B18" i="1"/>
  <c r="C18" i="1"/>
  <c r="E18" i="1"/>
  <c r="F18" i="1"/>
  <c r="B32" i="1"/>
  <c r="D32" i="1"/>
  <c r="H32" i="1"/>
  <c r="H18" i="1"/>
  <c r="G18" i="1"/>
  <c r="G32" i="1"/>
  <c r="G22" i="1"/>
  <c r="AO10" i="2" l="1"/>
  <c r="AQ10" i="2"/>
  <c r="AN19" i="2"/>
  <c r="AM23" i="2" s="1"/>
  <c r="AM24" i="2" s="1"/>
  <c r="AO19" i="2" l="1"/>
  <c r="AP16" i="2"/>
  <c r="AP15" i="2"/>
  <c r="AP14" i="2"/>
  <c r="AP13" i="2"/>
  <c r="AP12" i="2"/>
  <c r="AP11" i="2"/>
  <c r="AP18" i="2"/>
  <c r="AP17" i="2"/>
  <c r="AP10" i="2"/>
  <c r="AQ19" i="2"/>
  <c r="AP1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tc={D0B64D12-0E66-4FC8-90F4-37CCC2CB9528}</author>
    <author>tc={7B07D79D-8569-4CE5-9073-ECE34C6FCF06}</author>
    <author>tc={BD416ACF-ABC1-470B-A282-8448C7F2324C}</author>
    <author>tc={36BAB706-29BF-475B-9E7C-8A368E664BD5}</author>
    <author>tc={0D421DF7-0D30-4867-A64D-BAD4B395B962}</author>
    <author>tc={D79FB86E-0A1C-400D-AECA-911730AD1EAC}</author>
    <author>Crall, Brittany M.</author>
    <author>tc={BCA8AEBF-E697-4547-BDDD-22064B5D4DE8}</author>
    <author>tc={01878DAF-A8D5-4B49-97B3-8D9C21C41EC5}</author>
    <author>tc={B004592B-5E23-4F9F-BCEC-3BEA89731C76}</author>
    <author>tc={6F14D26E-EE02-4D89-9E1F-8E8BDFC13B25}</author>
  </authors>
  <commentList>
    <comment ref="AC3" authorId="0" shapeId="0" xr:uid="{D0B64D12-0E66-4FC8-90F4-37CCC2CB9528}">
      <text>
        <t>[Threaded comment]
Your version of Excel allows you to read this threaded comment; however, any edits to it will get removed if the file is opened in a newer version of Excel. Learn more: https://go.microsoft.com/fwlink/?linkid=870924
Comment:
    Update to actualy account for salaries</t>
      </text>
    </comment>
    <comment ref="AL3" authorId="1" shapeId="0" xr:uid="{7B07D79D-8569-4CE5-9073-ECE34C6FCF06}">
      <text>
        <t>[Threaded comment]
Your version of Excel allows you to read this threaded comment; however, any edits to it will get removed if the file is opened in a newer version of Excel. Learn more: https://go.microsoft.com/fwlink/?linkid=870924
Comment:
    Update to actualy account for salaries</t>
      </text>
    </comment>
    <comment ref="AC4" authorId="2" shapeId="0" xr:uid="{BD416ACF-ABC1-470B-A282-8448C7F2324C}">
      <text>
        <t>[Threaded comment]
Your version of Excel allows you to read this threaded comment; however, any edits to it will get removed if the file is opened in a newer version of Excel. Learn more: https://go.microsoft.com/fwlink/?linkid=870924
Comment:
    Update to actually account for current student wages</t>
      </text>
    </comment>
    <comment ref="AL4" authorId="3" shapeId="0" xr:uid="{36BAB706-29BF-475B-9E7C-8A368E664BD5}">
      <text>
        <t>[Threaded comment]
Your version of Excel allows you to read this threaded comment; however, any edits to it will get removed if the file is opened in a newer version of Excel. Learn more: https://go.microsoft.com/fwlink/?linkid=870924
Comment:
    Update to actually account for current student wages</t>
      </text>
    </comment>
    <comment ref="AB11" authorId="4" shapeId="0" xr:uid="{0D421DF7-0D30-4867-A64D-BAD4B395B962}">
      <text>
        <t>[Threaded comment]
Your version of Excel allows you to read this threaded comment; however, any edits to it will get removed if the file is opened in a newer version of Excel. Learn more: https://go.microsoft.com/fwlink/?linkid=870924
Comment:
    b/t 30k and 0</t>
      </text>
    </comment>
    <comment ref="AK11" authorId="5" shapeId="0" xr:uid="{D79FB86E-0A1C-400D-AECA-911730AD1EAC}">
      <text>
        <t>[Threaded comment]
Your version of Excel allows you to read this threaded comment; however, any edits to it will get removed if the file is opened in a newer version of Excel. Learn more: https://go.microsoft.com/fwlink/?linkid=870924
Comment:
    b/t 30k and 0</t>
      </text>
    </comment>
    <comment ref="O12" authorId="6" shapeId="0" xr:uid="{11EEF35F-EB7B-4ECD-8FAB-D34DA6214EE3}">
      <text>
        <r>
          <rPr>
            <b/>
            <sz val="9"/>
            <color indexed="81"/>
            <rFont val="Tahoma"/>
            <family val="2"/>
          </rPr>
          <t>Crall, Brittany M.:</t>
        </r>
        <r>
          <rPr>
            <sz val="9"/>
            <color indexed="81"/>
            <rFont val="Tahoma"/>
            <family val="2"/>
          </rPr>
          <t xml:space="preserve">
FY19 SAF $495,732.13; additional funding 
 $100,000
</t>
        </r>
      </text>
    </comment>
    <comment ref="AB12" authorId="7" shapeId="0" xr:uid="{BCA8AEBF-E697-4547-BDDD-22064B5D4DE8}">
      <text>
        <t>[Threaded comment]
Your version of Excel allows you to read this threaded comment; however, any edits to it will get removed if the file is opened in a newer version of Excel. Learn more: https://go.microsoft.com/fwlink/?linkid=870924
Comment:
    Max spend of 387k</t>
      </text>
    </comment>
    <comment ref="AK12" authorId="8" shapeId="0" xr:uid="{01878DAF-A8D5-4B49-97B3-8D9C21C41EC5}">
      <text>
        <t>[Threaded comment]
Your version of Excel allows you to read this threaded comment; however, any edits to it will get removed if the file is opened in a newer version of Excel. Learn more: https://go.microsoft.com/fwlink/?linkid=870924
Comment:
    Max spend of 387k</t>
      </text>
    </comment>
    <comment ref="O14" authorId="6" shapeId="0" xr:uid="{940ECE49-2055-4DBF-B0E0-97E06FFFF575}">
      <text>
        <r>
          <rPr>
            <b/>
            <sz val="9"/>
            <color indexed="81"/>
            <rFont val="Tahoma"/>
            <family val="2"/>
          </rPr>
          <t>Crall, Brittany M.:</t>
        </r>
        <r>
          <rPr>
            <sz val="9"/>
            <color indexed="81"/>
            <rFont val="Tahoma"/>
            <family val="2"/>
          </rPr>
          <t xml:space="preserve">
SAF $268403.54 and additional funds of $57,611.42
</t>
        </r>
      </text>
    </comment>
    <comment ref="Y17" authorId="9" shapeId="0" xr:uid="{B004592B-5E23-4F9F-BCEC-3BEA89731C76}">
      <text>
        <t>[Threaded comment]
Your version of Excel allows you to read this threaded comment; however, any edits to it will get removed if the file is opened in a newer version of Excel. Learn more: https://go.microsoft.com/fwlink/?linkid=870924
Comment:
    This number is under review. With the transfer to Workday all CGS funding sources were combined and corrections are needed to divide the grants, officer funding, and SAF funds into seperate budgets</t>
      </text>
    </comment>
    <comment ref="G34" authorId="10" shapeId="0" xr:uid="{6F14D26E-EE02-4D89-9E1F-8E8BDFC13B25}">
      <text>
        <t>[Threaded comment]
Your version of Excel allows you to read this threaded comment; however, any edits to it will get removed if the file is opened in a newer version of Excel. Learn more: https://go.microsoft.com/fwlink/?linkid=870924
Comment:
    See note in above FY22 section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tc={76357787-A14E-4804-B838-AF934E0153A8}</author>
    <author>tc={75A3005D-06F8-4408-81EF-1E3ADEBC56DB}</author>
    <author>Crall, Brittany M.</author>
  </authors>
  <commentList>
    <comment ref="A5" authorId="0" shapeId="0" xr:uid="{76357787-A14E-4804-B838-AF934E0153A8}">
      <text>
        <t>[Threaded comment]
Your version of Excel allows you to read this threaded comment; however, any edits to it will get removed if the file is opened in a newer version of Excel. Learn more: https://go.microsoft.com/fwlink/?linkid=870924
Comment:
    LY SAF Revenue + LY Fee margin = NY SAF revenue</t>
      </text>
    </comment>
    <comment ref="I6" authorId="1" shapeId="0" xr:uid="{75A3005D-06F8-4408-81EF-1E3ADEBC56DB}">
      <text>
        <t>[Threaded comment]
Your version of Excel allows you to read this threaded comment; however, any edits to it will get removed if the file is opened in a newer version of Excel. Learn more: https://go.microsoft.com/fwlink/?linkid=870924
Comment:
    Finalized in Sept</t>
      </text>
    </comment>
    <comment ref="E25" authorId="2" shapeId="0" xr:uid="{90F94785-AEFD-4C36-8988-BB60491C253F}">
      <text>
        <r>
          <rPr>
            <b/>
            <sz val="9"/>
            <color indexed="81"/>
            <rFont val="Tahoma"/>
            <family val="2"/>
          </rPr>
          <t>Crall, Brittany M.:</t>
        </r>
        <r>
          <rPr>
            <sz val="9"/>
            <color indexed="81"/>
            <rFont val="Tahoma"/>
            <family val="2"/>
          </rPr>
          <t xml:space="preserve">
FY19 SAF $495,732.13; additional funding 
 $100,000
</t>
        </r>
      </text>
    </comment>
    <comment ref="E27" authorId="2" shapeId="0" xr:uid="{875176A5-C979-402B-B6CE-A7BF984E1A5A}">
      <text>
        <r>
          <rPr>
            <b/>
            <sz val="9"/>
            <color indexed="81"/>
            <rFont val="Tahoma"/>
            <family val="2"/>
          </rPr>
          <t>Crall, Brittany M.:</t>
        </r>
        <r>
          <rPr>
            <sz val="9"/>
            <color indexed="81"/>
            <rFont val="Tahoma"/>
            <family val="2"/>
          </rPr>
          <t xml:space="preserve">
SAF $268403.54 and additional funds of $57,611.42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tc={1ECDF800-4A01-4152-BFB0-FAD7DB8D0556}</author>
    <author>tc={ED688211-A5C9-449D-A062-9E1F6F57880A}</author>
    <author>tc={2F3BB0CB-8E4C-43A1-BFDF-36802E3B9C18}</author>
    <author>tc={41E7C9CD-8769-4C8B-8911-324A5341B584}</author>
    <author>tc={BBF376AD-076D-4A3D-958C-4D59F75A7574}</author>
    <author>tc={98DA01D8-390D-4B31-B1C5-A448747311A7}</author>
    <author>tc={0E3E3571-6C21-4370-9FB7-11031A3D7AF6}</author>
    <author>tc={610E2726-F0BC-46E9-B82D-AE6B19C728EA}</author>
    <author>tc={A89E3BA3-A301-40B9-A137-496A002D4EDE}</author>
    <author>tc={AB08BF70-2F2F-42F6-B05D-7450297F78CA}</author>
    <author>tc={FFC01D7E-1F35-4932-883E-5AC453157E80}</author>
    <author>tc={EA18236F-AEA6-4A2B-B8C0-4DCBE8123DDE}</author>
    <author>tc={85FA03C4-C58A-497A-8531-2B1559E07BBF}</author>
    <author>tc={1A69BBC8-A957-4A40-AE64-2229920F135F}</author>
  </authors>
  <commentList>
    <comment ref="B1" authorId="0" shapeId="0" xr:uid="{1ECDF800-4A01-4152-BFB0-FAD7DB8D0556}">
      <text>
        <t>[Threaded comment]
Your version of Excel allows you to read this threaded comment; however, any edits to it will get removed if the file is opened in a newer version of Excel. Learn more: https://go.microsoft.com/fwlink/?linkid=870924
Comment:
    Yellow cell means the application and/or budget was submitted late</t>
      </text>
    </comment>
    <comment ref="M1" authorId="1" shapeId="0" xr:uid="{ED688211-A5C9-449D-A062-9E1F6F57880A}">
      <text>
        <t>[Threaded comment]
Your version of Excel allows you to read this threaded comment; however, any edits to it will get removed if the file is opened in a newer version of Excel. Learn more: https://go.microsoft.com/fwlink/?linkid=870924
Comment:
    Green cell means it was hosted virtually</t>
      </text>
    </comment>
    <comment ref="Q1" authorId="2" shapeId="0" xr:uid="{2F3BB0CB-8E4C-43A1-BFDF-36802E3B9C18}">
      <text>
        <t>[Threaded comment]
Your version of Excel allows you to read this threaded comment; however, any edits to it will get removed if the file is opened in a newer version of Excel. Learn more: https://go.microsoft.com/fwlink/?linkid=870924
Comment:
    Yellow means the event will be funded partially, amount unknown. - means unsure if appropriate to fund.</t>
      </text>
    </comment>
    <comment ref="E2" authorId="3" shapeId="0" xr:uid="{41E7C9CD-8769-4C8B-8911-324A5341B584}">
      <text>
        <t>[Threaded comment]
Your version of Excel allows you to read this threaded comment; however, any edits to it will get removed if the file is opened in a newer version of Excel. Learn more: https://go.microsoft.com/fwlink/?linkid=870924
Comment:
    $12.5k Versiti funding. $1k Buckeye blood club contributions.
Past sponsorships: insomnia, noodles, skyline, roosters, tommy's pizza.</t>
      </text>
    </comment>
    <comment ref="M2" authorId="4" shapeId="0" xr:uid="{BBF376AD-076D-4A3D-958C-4D59F75A7574}">
      <text>
        <t>[Threaded comment]
Your version of Excel allows you to read this threaded comment; however, any edits to it will get removed if the file is opened in a newer version of Excel. Learn more: https://go.microsoft.com/fwlink/?linkid=870924
Comment:
    These are donation numbers. There are also many more students who actively participate during events during the period of time.
75%</t>
      </text>
    </comment>
    <comment ref="E3" authorId="5" shapeId="0" xr:uid="{98DA01D8-390D-4B31-B1C5-A448747311A7}">
      <text>
        <t>[Threaded comment]
Your version of Excel allows you to read this threaded comment; however, any edits to it will get removed if the file is opened in a newer version of Excel. Learn more: https://go.microsoft.com/fwlink/?linkid=870924
Comment:
    Nike donation/ own budget</t>
      </text>
    </comment>
    <comment ref="L15" authorId="6" shapeId="0" xr:uid="{0E3E3571-6C21-4370-9FB7-11031A3D7AF6}">
      <text>
        <t>[Threaded comment]
Your version of Excel allows you to read this threaded comment; however, any edits to it will get removed if the file is opened in a newer version of Excel. Learn more: https://go.microsoft.com/fwlink/?linkid=870924
Comment:
    MCEC merged with OUAB and hosted weekend with comedy show, lecture, concert, t-shirt exchange</t>
      </text>
    </comment>
    <comment ref="M15" authorId="7" shapeId="0" xr:uid="{610E2726-F0BC-46E9-B82D-AE6B19C728EA}">
      <text>
        <t>[Threaded comment]
Your version of Excel allows you to read this threaded comment; however, any edits to it will get removed if the file is opened in a newer version of Excel. Learn more: https://go.microsoft.com/fwlink/?linkid=870924
Comment:
    hosted virtually with t-shirt exchange &amp; Hot Ones event</t>
      </text>
    </comment>
    <comment ref="M21" authorId="8" shapeId="0" xr:uid="{A89E3BA3-A301-40B9-A137-496A002D4EDE}">
      <text>
        <t>[Threaded comment]
Your version of Excel allows you to read this threaded comment; however, any edits to it will get removed if the file is opened in a newer version of Excel. Learn more: https://go.microsoft.com/fwlink/?linkid=870924
Comment:
    Grab and go meals</t>
      </text>
    </comment>
    <comment ref="M23" authorId="9" shapeId="0" xr:uid="{AB08BF70-2F2F-42F6-B05D-7450297F78CA}">
      <text>
        <t>[Threaded comment]
Your version of Excel allows you to read this threaded comment; however, any edits to it will get removed if the file is opened in a newer version of Excel. Learn more: https://go.microsoft.com/fwlink/?linkid=870924
Comment:
    Grab and go kits in fall. craft kits in spring. Virtual.</t>
      </text>
    </comment>
    <comment ref="B26" authorId="10" shapeId="0" xr:uid="{FFC01D7E-1F35-4932-883E-5AC453157E80}">
      <text>
        <t>[Threaded comment]
Your version of Excel allows you to read this threaded comment; however, any edits to it will get removed if the file is opened in a newer version of Excel. Learn more: https://go.microsoft.com/fwlink/?linkid=870924
Comment:
    The AAHF Homecoming Tailgate was intially part of the AAHF application along with another request. They were then all seperated and considered indidivudally. To allow more flexible spending the applications of and total amount funded to AAHF and AAHF HT have been combined to a single Signature Event application.</t>
      </text>
    </comment>
    <comment ref="E26" authorId="11" shapeId="0" xr:uid="{EA18236F-AEA6-4A2B-B8C0-4DCBE8123DDE}">
      <text>
        <t>[Threaded comment]
Your version of Excel allows you to read this threaded comment; however, any edits to it will get removed if the file is opened in a newer version of Excel. Learn more: https://go.microsoft.com/fwlink/?linkid=870924
Comment:
    Previous years: $35k 2020, $55k 2019
Funding sources decreased over time.</t>
      </text>
    </comment>
    <comment ref="B27" authorId="12" shapeId="0" xr:uid="{85FA03C4-C58A-497A-8531-2B1559E07BBF}">
      <text>
        <t>[Threaded comment]
Your version of Excel allows you to read this threaded comment; however, any edits to it will get removed if the file is opened in a newer version of Excel. Learn more: https://go.microsoft.com/fwlink/?linkid=870924
Comment:
    See comment on AAHF</t>
      </text>
    </comment>
    <comment ref="M28" authorId="13" shapeId="0" xr:uid="{1A69BBC8-A957-4A40-AE64-2229920F135F}">
      <text>
        <t>[Threaded comment]
Your version of Excel allows you to read this threaded comment; however, any edits to it will get removed if the file is opened in a newer version of Excel. Learn more: https://go.microsoft.com/fwlink/?linkid=870924
Comment:
    Grab and go crafts. No homecoming parade</t>
      </text>
    </comment>
  </commentList>
</comments>
</file>

<file path=xl/sharedStrings.xml><?xml version="1.0" encoding="utf-8"?>
<sst xmlns="http://schemas.openxmlformats.org/spreadsheetml/2006/main" count="784" uniqueCount="464">
  <si>
    <t>FY16 Beginning Bal.</t>
  </si>
  <si>
    <t>FY16 Allocation</t>
  </si>
  <si>
    <t>FY16 Other Sources/Uses</t>
  </si>
  <si>
    <t>FY17 Beginning Bal.</t>
  </si>
  <si>
    <t>FY16 Allocation Pullback</t>
  </si>
  <si>
    <t>FY17 Allocation</t>
  </si>
  <si>
    <t>FY17 Other Sources/Uses</t>
  </si>
  <si>
    <t>FY18 Beginning Bal.</t>
  </si>
  <si>
    <t>FY17 Allocation Pullback</t>
  </si>
  <si>
    <t>FY18 Allocation</t>
  </si>
  <si>
    <t>FY18 Other Sources/Uses</t>
  </si>
  <si>
    <t>FY19 Beginning Bal.</t>
  </si>
  <si>
    <t>FY18 Allocation Pullback</t>
  </si>
  <si>
    <t>FY19 Allocation</t>
  </si>
  <si>
    <t>FY19 Other Sources/Uses</t>
  </si>
  <si>
    <t>FY20  Beginning Bal.</t>
  </si>
  <si>
    <t>FY19  Pullback</t>
  </si>
  <si>
    <t>FY20 Allocation</t>
  </si>
  <si>
    <t>FY20 Other Sources/Uses</t>
  </si>
  <si>
    <t>FY21 Beginning Bal.</t>
  </si>
  <si>
    <t>FY20 Pullback</t>
  </si>
  <si>
    <t>FY21 Allocation</t>
  </si>
  <si>
    <t>FY21 Other Sources/Uses</t>
  </si>
  <si>
    <t>FY22 Beginning Bal.</t>
  </si>
  <si>
    <t>FY21 Pullback</t>
  </si>
  <si>
    <t>FY22 Allocation</t>
  </si>
  <si>
    <t>FY 23 Expected Beginning Bal.</t>
  </si>
  <si>
    <t>FY 23 Total Budget</t>
  </si>
  <si>
    <t>Total Allocation</t>
  </si>
  <si>
    <t>Fixed Allocations</t>
  </si>
  <si>
    <t>Budget Avg 18 / 19</t>
  </si>
  <si>
    <t>Staffing</t>
  </si>
  <si>
    <t>Resource Room</t>
  </si>
  <si>
    <t>Graphics/Video</t>
  </si>
  <si>
    <t>Signature Events</t>
  </si>
  <si>
    <t>Total Fixed</t>
  </si>
  <si>
    <t>Variable Allocations</t>
  </si>
  <si>
    <t>FY22 %</t>
  </si>
  <si>
    <t>OUAB</t>
  </si>
  <si>
    <t>D-Tix</t>
  </si>
  <si>
    <t>Student Organizations</t>
  </si>
  <si>
    <t>Buck I Serv</t>
  </si>
  <si>
    <t>Pay It Forward</t>
  </si>
  <si>
    <t>USG</t>
  </si>
  <si>
    <t>CGS</t>
  </si>
  <si>
    <t>IPC</t>
  </si>
  <si>
    <t>Total Variable</t>
  </si>
  <si>
    <t>Pre COVID</t>
  </si>
  <si>
    <t>COVID</t>
  </si>
  <si>
    <t>%FY16</t>
  </si>
  <si>
    <t>%FY17</t>
  </si>
  <si>
    <t>%FY18</t>
  </si>
  <si>
    <t>%FY19</t>
  </si>
  <si>
    <t>%FY20</t>
  </si>
  <si>
    <t>%FY21</t>
  </si>
  <si>
    <t>Average 16-18</t>
  </si>
  <si>
    <t>Average 19-21</t>
  </si>
  <si>
    <t>SAF Revenue</t>
  </si>
  <si>
    <t>Fixed</t>
  </si>
  <si>
    <t>Variable</t>
  </si>
  <si>
    <t>Additional Funds</t>
  </si>
  <si>
    <t>Pullback from Staffing</t>
  </si>
  <si>
    <t>Pullback Graphics&amp;Vid</t>
  </si>
  <si>
    <t>Includes -75k spend on equipment</t>
  </si>
  <si>
    <t>Pullback Resource Room</t>
  </si>
  <si>
    <t>Includes -15 for temporary member development grant</t>
  </si>
  <si>
    <t>No Pullback from variable allocations for the next three years</t>
  </si>
  <si>
    <t>Spent</t>
  </si>
  <si>
    <t>Y/N?</t>
  </si>
  <si>
    <t>Pay it forward</t>
  </si>
  <si>
    <t>Y</t>
  </si>
  <si>
    <t>Internal OSU Speaker Fee (10 @$200 ea)</t>
  </si>
  <si>
    <t>Replacing uncertain Target Grant</t>
  </si>
  <si>
    <t>2 high impact / profile external OSU speakers</t>
  </si>
  <si>
    <t>Total PIF</t>
  </si>
  <si>
    <t>Job Title</t>
  </si>
  <si>
    <t>Grade</t>
  </si>
  <si>
    <t>Minimum</t>
  </si>
  <si>
    <t>Maximum</t>
  </si>
  <si>
    <t>Job Description</t>
  </si>
  <si>
    <t>6 $500 MHS events instead of 6 $200 MHS events</t>
  </si>
  <si>
    <t>Student Assistant 1 (7968)</t>
  </si>
  <si>
    <t>S01</t>
  </si>
  <si>
    <t>$8.80*</t>
  </si>
  <si>
    <t>Duties are of a routine and simple nature; entry level. Requires direct supervision with relatively specific instructions.  Little or no training or experience is required.</t>
  </si>
  <si>
    <t>1 additional Donut Day</t>
  </si>
  <si>
    <t>Student Assistant 2 (TBA)</t>
  </si>
  <si>
    <t>S02</t>
  </si>
  <si>
    <t>Duties are varied and less routine and involve a moderate degree of responsibility and judgment.  May lead or coordinate activities of other student employees.  Requires previous knowledge or skill and/or equivalent experience or training.</t>
  </si>
  <si>
    <t>Fund 100% instead of 70% of student org requests</t>
  </si>
  <si>
    <t>Student Assistant 3 (TBA)</t>
  </si>
  <si>
    <t>S03</t>
  </si>
  <si>
    <t xml:space="preserve">Duties are moderately technical or complex or involve a high degree of responsibility and judgment.  May direct activities of other student employees.  A significant amount of specialized training or experience is required. </t>
  </si>
  <si>
    <t>Additional LGBTQ+ event</t>
  </si>
  <si>
    <t>IPC's biggest event (Casino Night)</t>
  </si>
  <si>
    <t>Total IPC</t>
  </si>
  <si>
    <t>DTIX</t>
  </si>
  <si>
    <t>Wage</t>
  </si>
  <si>
    <t>Hours</t>
  </si>
  <si>
    <t>SO 1 info center assistant hours worked at wage $9.40</t>
  </si>
  <si>
    <t>1945 unenrolled hours</t>
  </si>
  <si>
    <t>Difference</t>
  </si>
  <si>
    <t>4984 enrolled hours</t>
  </si>
  <si>
    <t>SO 2 info center lead hours worked at wage $10.50</t>
  </si>
  <si>
    <t>342 underenrolled hours</t>
  </si>
  <si>
    <t>1887 enrolled hours</t>
  </si>
  <si>
    <t>Total Difference</t>
  </si>
  <si>
    <t>Sustainable changes. Across the entire university without reducing positions etc.</t>
  </si>
  <si>
    <t>Benefit Rate Premium SO1</t>
  </si>
  <si>
    <t>Under enrolled benefit: 15.9%</t>
  </si>
  <si>
    <t>Benefit Rate Premium SO2</t>
  </si>
  <si>
    <t>Enrolled benefit: .4%</t>
  </si>
  <si>
    <t>N</t>
  </si>
  <si>
    <t>Estimated annual revenue from tickets</t>
  </si>
  <si>
    <t>Total DTIX</t>
  </si>
  <si>
    <t>5 coaches Y1, 7.5 Y2, 10 Y3, 10 hours/week, 34 weeks/yr, $11.50 an hour. Coaching meetings for student orgs, "get involved consultations", programming planning and implementation</t>
  </si>
  <si>
    <t>$15.17/hour</t>
  </si>
  <si>
    <t>SO2</t>
  </si>
  <si>
    <t>340 enrolled hours</t>
  </si>
  <si>
    <t>Revenue from supplies and services to students, student orgs, and some university departments</t>
  </si>
  <si>
    <t>Sig Events</t>
  </si>
  <si>
    <t>Spent extra 21.5 last year on career fair -- Came from general expense line</t>
  </si>
  <si>
    <t>Additional budget needed for current staff at current wage. (Current budget for wages $70k, current spend $108k)</t>
  </si>
  <si>
    <t>Existing SO 1 RR Assistants</t>
  </si>
  <si>
    <t>2160 underenrolled hours</t>
  </si>
  <si>
    <t>6324 enrolled hours</t>
  </si>
  <si>
    <t>Existing SO 2 RR Managers/Project Managers</t>
  </si>
  <si>
    <t>1700 enrolled hours</t>
  </si>
  <si>
    <t>Total Resource Room</t>
  </si>
  <si>
    <t>Graphics, Video, Photo</t>
  </si>
  <si>
    <t>SO 2 Student video employees</t>
  </si>
  <si>
    <t>2625 enrolled hours</t>
  </si>
  <si>
    <t>SO 2 Student graphic employees</t>
  </si>
  <si>
    <t>2520 enrolled hours</t>
  </si>
  <si>
    <t>Benefit Rate Premium video SO2</t>
  </si>
  <si>
    <t>Mental health emergency fund for students who are referred to off-campus counselors</t>
  </si>
  <si>
    <t>Free safe sex products (condoms, plan b, birth control) + potential for more plan b</t>
  </si>
  <si>
    <t>Annual Black History &amp; Arts highlight</t>
  </si>
  <si>
    <t>Expansion of Buckeye Road Trip to cover regional campuses</t>
  </si>
  <si>
    <t>Subsidization for GRE, LSAT, and MCAT test prep services</t>
  </si>
  <si>
    <t>Car, household, and individual safety devices</t>
  </si>
  <si>
    <t>Increase of student organization funding allocations</t>
  </si>
  <si>
    <t>Total USG</t>
  </si>
  <si>
    <t>Buck-I-Serv</t>
  </si>
  <si>
    <t>5 Buck-I-Serv student assistants, 1 school year (12 hours a week, 34 weeks), 4 summer staff (10 hours a week, 18 weeks)</t>
  </si>
  <si>
    <t>SO 1</t>
  </si>
  <si>
    <t>1128 hours enrolled</t>
  </si>
  <si>
    <t>$14.17/hr difference</t>
  </si>
  <si>
    <t>1 Buck-I-Serv student manager during school year (10 hours a week, 34 weeks)</t>
  </si>
  <si>
    <t>SO 2</t>
  </si>
  <si>
    <t>$15.17/hr difference</t>
  </si>
  <si>
    <t>Total Buck-I-Serv</t>
  </si>
  <si>
    <t>2 OUAB grad/prof events positions. 10-15 hours/week. B/t $10.50 and $16.12/hour</t>
  </si>
  <si>
    <t>450 hours underenrolled (18 weeks (summer + break))</t>
  </si>
  <si>
    <t>822 hours enrolled (33 weeks (school year))</t>
  </si>
  <si>
    <t>Total OUAB</t>
  </si>
  <si>
    <t>STAFFING</t>
  </si>
  <si>
    <t>1 full-time employee to support all 3 student governments</t>
  </si>
  <si>
    <t>Hazing prevention &amp; education positions. All student organizations (potentially funded outside of SAF)</t>
  </si>
  <si>
    <t>1 full-time RR employee, student organizations coordinator position</t>
  </si>
  <si>
    <t>Total All Staffing</t>
  </si>
  <si>
    <t>FY16</t>
  </si>
  <si>
    <t>FY17</t>
  </si>
  <si>
    <t>FY18</t>
  </si>
  <si>
    <t>FY19</t>
  </si>
  <si>
    <t>FY20</t>
  </si>
  <si>
    <t>FY21</t>
  </si>
  <si>
    <t>FY22</t>
  </si>
  <si>
    <t>FY23</t>
  </si>
  <si>
    <t>Beginning Balance SAF Admin Budget</t>
  </si>
  <si>
    <t>Pullback</t>
  </si>
  <si>
    <t>SPG Contribution</t>
  </si>
  <si>
    <t>Reconciliation</t>
  </si>
  <si>
    <t>~</t>
  </si>
  <si>
    <t>Should be small and +</t>
  </si>
  <si>
    <t>Fee Margin</t>
  </si>
  <si>
    <t>Total Allocation for the year (Includes CF to be redistributed)</t>
  </si>
  <si>
    <t>Total</t>
  </si>
  <si>
    <t>Organization</t>
  </si>
  <si>
    <t>Year</t>
  </si>
  <si>
    <t># Active Clubs</t>
  </si>
  <si>
    <t># Prog Reqs</t>
  </si>
  <si>
    <t>% Clubs</t>
  </si>
  <si>
    <t>$ Avg Prog</t>
  </si>
  <si>
    <t>$ Total Prog</t>
  </si>
  <si>
    <t># Op Reqs</t>
  </si>
  <si>
    <t>$Avg Op</t>
  </si>
  <si>
    <t>$ Total Op</t>
  </si>
  <si>
    <t>$ Total</t>
  </si>
  <si>
    <t>Budget</t>
  </si>
  <si>
    <t>Used</t>
  </si>
  <si>
    <t>Carryforward</t>
  </si>
  <si>
    <t>Average/Year</t>
  </si>
  <si>
    <t>FY 23 CF</t>
  </si>
  <si>
    <t>CF / 3 years</t>
  </si>
  <si>
    <t>20% increase</t>
  </si>
  <si>
    <t>Need yearly</t>
  </si>
  <si>
    <t>Event Name</t>
  </si>
  <si>
    <t>$ from SAF</t>
  </si>
  <si>
    <t>Payment Completed</t>
  </si>
  <si>
    <t>Welcome Week</t>
  </si>
  <si>
    <t>payment submitted $10,000</t>
  </si>
  <si>
    <t>International Student Welcome Party</t>
  </si>
  <si>
    <t>payment submitted $8,300</t>
  </si>
  <si>
    <t>Block "O" Watch Parties</t>
  </si>
  <si>
    <t>payment submitted $2,000</t>
  </si>
  <si>
    <t>Bellwether Improv Show</t>
  </si>
  <si>
    <t xml:space="preserve">cancelled due to university COVID </t>
  </si>
  <si>
    <t>Homecoming Parade</t>
  </si>
  <si>
    <t>payment pending $20,000</t>
  </si>
  <si>
    <t>HackOHI/O</t>
  </si>
  <si>
    <t>payment pending $17,000</t>
  </si>
  <si>
    <t>Thanksgiving Dinner</t>
  </si>
  <si>
    <t>payment pending $21,000</t>
  </si>
  <si>
    <t>African Night</t>
  </si>
  <si>
    <t>payment pending $5,500</t>
  </si>
  <si>
    <t>Light Up the Lake</t>
  </si>
  <si>
    <t>payment pending $7,000</t>
  </si>
  <si>
    <t>APIDA</t>
  </si>
  <si>
    <t>payment pending $4,500</t>
  </si>
  <si>
    <t>Student Involvement Fairs (Fall + Spring)</t>
  </si>
  <si>
    <t>payment pending $30,000</t>
  </si>
  <si>
    <t xml:space="preserve">Taste of OSU </t>
  </si>
  <si>
    <t>Cancelled due to university COVID restrictions in Jan 2022</t>
  </si>
  <si>
    <t>Off the Lake Spring Show</t>
  </si>
  <si>
    <t>event to happen in late spring</t>
  </si>
  <si>
    <t>RUOK? Day</t>
  </si>
  <si>
    <t>African American Heritage Festival</t>
  </si>
  <si>
    <t>payment pending $25,000</t>
  </si>
  <si>
    <t>TEDxOhioStateUniversity Annual Event</t>
  </si>
  <si>
    <t>payment pending $6,800</t>
  </si>
  <si>
    <t>Relay for Life</t>
  </si>
  <si>
    <t>Alleviating Poverty Through Entrepreneurship</t>
  </si>
  <si>
    <t>Commencement Weeks (Fall + Spring)</t>
  </si>
  <si>
    <t>Residence Life CMA</t>
  </si>
  <si>
    <t>event no longer funded/cancelled</t>
  </si>
  <si>
    <t>NPHC Stepshow</t>
  </si>
  <si>
    <t>cancelled due to university COVID restrictions in Jan 2022</t>
  </si>
  <si>
    <t>Residence Life COSI</t>
  </si>
  <si>
    <t>Sustained Dialogue</t>
  </si>
  <si>
    <t>Buckeye Nation Week</t>
  </si>
  <si>
    <t>Paid</t>
  </si>
  <si>
    <t>Pending</t>
  </si>
  <si>
    <t>To happen</t>
  </si>
  <si>
    <t>Off the Lake Spring Show - are scheduled to happen and use full budget</t>
  </si>
  <si>
    <t>RUOK? Day - set to happen and use full budget</t>
  </si>
  <si>
    <t>Relay for Life - 50/50 chance this will happen. Awaiting final answer</t>
  </si>
  <si>
    <r>
      <t>Alleviating Poverty Through Entrepreneurship</t>
    </r>
    <r>
      <rPr>
        <sz val="11"/>
        <color theme="1"/>
        <rFont val="Calibri"/>
        <family val="2"/>
        <scheme val="minor"/>
      </rPr>
      <t> - 50/50 chance this will happen, Awaiting final answer</t>
    </r>
  </si>
  <si>
    <t>Commencement Weeks (Fall + Spring) - will happen and use full budget</t>
  </si>
  <si>
    <t> Sustained Dialogue - 50/50 chance this will happen, Awaiting final answer </t>
  </si>
  <si>
    <t>Buckeye Nation Week - set to happen and use full budget</t>
  </si>
  <si>
    <t>Previous $ requested from SAF</t>
  </si>
  <si>
    <t>Previous # of attendees</t>
  </si>
  <si>
    <t>Significant Y2Y $ Changes</t>
  </si>
  <si>
    <t>Community Commitment</t>
  </si>
  <si>
    <t>Office of Student Life, Student Activities (PIF supported)</t>
  </si>
  <si>
    <t>Indian Independence Day Celebration</t>
  </si>
  <si>
    <t>Diwali: The Festival of Lights</t>
  </si>
  <si>
    <t>Diwali Festival (Holi)</t>
  </si>
  <si>
    <t>Lunar New Year</t>
  </si>
  <si>
    <t>International Students Welcome Party</t>
  </si>
  <si>
    <t>?</t>
  </si>
  <si>
    <t>Stroll Competition</t>
  </si>
  <si>
    <t>National Pan-Hellenic Council</t>
  </si>
  <si>
    <t>Spring Play</t>
  </si>
  <si>
    <t>Off The Lake Productions</t>
  </si>
  <si>
    <t>Minimal change</t>
  </si>
  <si>
    <t>Spring Musical</t>
  </si>
  <si>
    <t>Taste of OSU</t>
  </si>
  <si>
    <t>Office of International Affairs</t>
  </si>
  <si>
    <t>African Youth League</t>
  </si>
  <si>
    <t>Blood Battle</t>
  </si>
  <si>
    <t>Buckeye Blood Club</t>
  </si>
  <si>
    <t>Spirit &amp; Traditions Committee in Ohio Union Activities Board / Student Activities</t>
  </si>
  <si>
    <t>HACK OHI/O</t>
  </si>
  <si>
    <t>OHI/O, Computer Science and Engineering Department</t>
  </si>
  <si>
    <t>35k fireworks, 10k grandstands, 6k float building. 3k attendees. Added firework &amp; festival.
Previous budgets: 38k, 27k, 48k+50k fireworks.</t>
  </si>
  <si>
    <t>Light up the Lake</t>
  </si>
  <si>
    <t>Ohio Staters</t>
  </si>
  <si>
    <t>Rivalry Run</t>
  </si>
  <si>
    <t>Block O</t>
  </si>
  <si>
    <t>Watch Party</t>
  </si>
  <si>
    <t>1000+</t>
  </si>
  <si>
    <t>Student Involvement Fair</t>
  </si>
  <si>
    <t>Student Activities</t>
  </si>
  <si>
    <t>TEDxOhioStateUniversity Main Event</t>
  </si>
  <si>
    <t>TEDxOhioStateUniversity</t>
  </si>
  <si>
    <t>31st Annual Thanksgiving Dinner Event at The Ohio State University</t>
  </si>
  <si>
    <t>Office of Diversity and Inclusion and the Office of International Affairs</t>
  </si>
  <si>
    <t>Time for Change Week</t>
  </si>
  <si>
    <t>Time for Change at the Ohio State University / Sustainability Institute and Office of Student Life</t>
  </si>
  <si>
    <t>Total Graphics, Video, Photo</t>
  </si>
  <si>
    <t>3 Year Average Annual Budget</t>
  </si>
  <si>
    <t>Pre-COVID 19 Budgets</t>
  </si>
  <si>
    <t>% of Total SAF Allocation</t>
  </si>
  <si>
    <t>Available Funds</t>
  </si>
  <si>
    <t>Targeted Beneficiary Allocations</t>
  </si>
  <si>
    <t>2022-2023 SAF Revenue</t>
  </si>
  <si>
    <t>Base Annual Allocation</t>
  </si>
  <si>
    <t>Total Annual Allocation</t>
  </si>
  <si>
    <t>Org / Department</t>
  </si>
  <si>
    <t>$ requested</t>
  </si>
  <si>
    <t>$ org gets from outside of SAF (if any)</t>
  </si>
  <si>
    <t>Notes / Questions</t>
  </si>
  <si>
    <t>2018 - 2019 attendees</t>
  </si>
  <si>
    <t>2019 - 2020 attendees</t>
  </si>
  <si>
    <t>2020 - 2021 attendees</t>
  </si>
  <si>
    <t>Repeat Event?</t>
  </si>
  <si>
    <t>Questions</t>
  </si>
  <si>
    <t>Meetings</t>
  </si>
  <si>
    <t>Fund?</t>
  </si>
  <si>
    <t>Amount Funded</t>
  </si>
  <si>
    <t>Total Budget</t>
  </si>
  <si>
    <t>% Contributing</t>
  </si>
  <si>
    <t>Emily Montenegro</t>
  </si>
  <si>
    <t xml:space="preserve">Having a drive at the shoe. Oct 26-Nov26. </t>
  </si>
  <si>
    <t>Peter, Josh, Brooke</t>
  </si>
  <si>
    <t>Peter</t>
  </si>
  <si>
    <t xml:space="preserve">Minimal change </t>
  </si>
  <si>
    <t>Target attendees? 1148+</t>
  </si>
  <si>
    <t>Peter, Will, Josh</t>
  </si>
  <si>
    <t>Programming Funds</t>
  </si>
  <si>
    <t>Left</t>
  </si>
  <si>
    <t>Cancelled</t>
  </si>
  <si>
    <t>No questions</t>
  </si>
  <si>
    <t xml:space="preserve"> Minimal change </t>
  </si>
  <si>
    <t>Great Gatsby. 1000 people. Confirming number of attendees and target for this year.</t>
  </si>
  <si>
    <t>Caroline, Josh, Amanya</t>
  </si>
  <si>
    <t>Heathers. 2500 people</t>
  </si>
  <si>
    <t>William Vu</t>
  </si>
  <si>
    <t>1054 total, 800 students</t>
  </si>
  <si>
    <t>1885 total, ~800 students</t>
  </si>
  <si>
    <t>Confirm the budget they are requesting? 6.58k</t>
  </si>
  <si>
    <t>Brooke Olson</t>
  </si>
  <si>
    <t>Uncertain</t>
  </si>
  <si>
    <t>Application mentions wanting to purchase more lights and materials, expanding the physical footprint of the event, and install a speaker system. I could not find these amounts in a projected budget.</t>
  </si>
  <si>
    <t>Confirm budget they are requesting. $7k</t>
  </si>
  <si>
    <t>RUOK Day</t>
  </si>
  <si>
    <t xml:space="preserve">Smaller overall budget </t>
  </si>
  <si>
    <t>Y1 - 600, Y2 - 720, Y3 - 864</t>
  </si>
  <si>
    <t>Applied for an additional $1500 USG grant. $2500 out of organization's budget. 20% annual growth</t>
  </si>
  <si>
    <t>Joshua Parker</t>
  </si>
  <si>
    <t>Engaging with regional campuses, working with FLOW, "Concert for Change" event</t>
  </si>
  <si>
    <t xml:space="preserve">Our organization will continue to partner with groups such as the Undergraduate Student Government and the Sustainability Institute to host our flagship events each year (such as the Sustainability Fair and Women in Sustainability event, respectively). Additionally, we will continue to reach out to both local and national businesses to sponsor giveaway items. Even with these funding sources, we want to make clear that Signature Event funding would significantly help our organization, as this funding would allow us to expand the scale and scope of our current programming efforts. </t>
  </si>
  <si>
    <t>-</t>
  </si>
  <si>
    <t xml:space="preserve">How much $ will Time for Change be putting towards the cost of this event from its own funds in the upcoming years? How much money is raised for / donated from the event from other organizations? ~$8.5k funded already
What is the target number of OSU students that you believe will attend for the event in the upcoming years? 1000+
How are you going to ensure that the engagement with regional campuses yields tangible results? What marketing initiatives are you working on to ensure people know about T4C week?
</t>
  </si>
  <si>
    <t>Josh. Caroline. Brooke.</t>
  </si>
  <si>
    <t>Janna Stephens</t>
  </si>
  <si>
    <t>Nathan Craig</t>
  </si>
  <si>
    <t>Over 1000+ pre covid</t>
  </si>
  <si>
    <t>They can do t shirts for $17.5k. T shirts for all participants. Pre covid they had ~1000 students</t>
  </si>
  <si>
    <t>250 (1st year back)</t>
  </si>
  <si>
    <t>Peter, Will</t>
  </si>
  <si>
    <t>Within PIF</t>
  </si>
  <si>
    <t>from 350-1500 per element</t>
  </si>
  <si>
    <t>Amount the event is getting outside of SAF. $3500</t>
  </si>
  <si>
    <t>Y1 - 750, Y2 900, Y3 1100</t>
  </si>
  <si>
    <t>Additional funding for other parts of events to replace external funding</t>
  </si>
  <si>
    <t>Kelsey Lowman</t>
  </si>
  <si>
    <t>Y1 - 750, Y2 - 900, Y3 - 1050</t>
  </si>
  <si>
    <t>Virtual views: 1472</t>
  </si>
  <si>
    <t>#s</t>
  </si>
  <si>
    <t>Jacob Chang</t>
  </si>
  <si>
    <t>Y1 - 600, Y2 - 850, Y3 - 1000</t>
  </si>
  <si>
    <t>Online</t>
  </si>
  <si>
    <t>Y1 - 500, Y-2 750, Y3 - 900</t>
  </si>
  <si>
    <t>Y1 - 450, Y2 - 700, Y3 - 850</t>
  </si>
  <si>
    <t>Unknown</t>
  </si>
  <si>
    <t>Event occurs before the school year begins</t>
  </si>
  <si>
    <t>Caroline, Jacob, Emily</t>
  </si>
  <si>
    <t>Amanya Paige</t>
  </si>
  <si>
    <t>1800+</t>
  </si>
  <si>
    <t>Relatively minimal change- $9,000</t>
  </si>
  <si>
    <t>Brittany Crall</t>
  </si>
  <si>
    <t>Y1 - 550, Y2 660, Y3 792</t>
  </si>
  <si>
    <t>While our day-of attendance for HackOHI/O may not reach slightly over 1,000 students, we are able to draw in a wide crowd through hype event and workshop participation hosted throughout campus. For example, our BlockI/O event that occurs before HackOHI/O on the clocktower draws in around 100 OSU student participation and acts as a great hype event to encourage students to participate in HackOHI/O.</t>
  </si>
  <si>
    <t>914 total, 740 OSU</t>
  </si>
  <si>
    <t>960 total, 457 OSU</t>
  </si>
  <si>
    <t>Matt Couch</t>
  </si>
  <si>
    <t>Commencement Week (Fall / Spring)</t>
  </si>
  <si>
    <t>AV costs for Candlelight Ceremony have doubled</t>
  </si>
  <si>
    <t>Looking to add interactive components to Candlelight Ceremony, tours of Columbus, and professional graduation photos</t>
  </si>
  <si>
    <t>754 / 2844</t>
  </si>
  <si>
    <t>880 / cancelled</t>
  </si>
  <si>
    <t>1250/
1758</t>
  </si>
  <si>
    <t>Angela Britton</t>
  </si>
  <si>
    <t>Welcome Week and Welcome Back Week (Fall/Spring)</t>
  </si>
  <si>
    <t>7000+ this year</t>
  </si>
  <si>
    <t>13k super games ice rink, 10k university catering. 10k promotional items</t>
  </si>
  <si>
    <t>How much money are you requesting from SAF? Are you receiving funding outside of SAF? Does the 2022-2023 budget account for a multi-day fair?</t>
  </si>
  <si>
    <t>11050 / 3025</t>
  </si>
  <si>
    <t>10500 / 4100</t>
  </si>
  <si>
    <t>10,000 / 3441</t>
  </si>
  <si>
    <t>Caroline</t>
  </si>
  <si>
    <t>SL MCC</t>
  </si>
  <si>
    <t>Larger overall budget</t>
  </si>
  <si>
    <t>New budget items: Homecoming, Committee Retreat, and Weekly Committee Meeting Professional Development</t>
  </si>
  <si>
    <t>AAHF Homecoming Tailgate</t>
  </si>
  <si>
    <t>3000 this year</t>
  </si>
  <si>
    <t>Funding outside of SAF? $11.7k in previous years</t>
  </si>
  <si>
    <t>SIF</t>
  </si>
  <si>
    <t>Homecoming</t>
  </si>
  <si>
    <t>Commencement</t>
  </si>
  <si>
    <t>Assigned Committee Member</t>
  </si>
  <si>
    <t>African American Heritage Festival &amp; Homecoming Tailgate</t>
  </si>
  <si>
    <t>$3250 Reflected Above</t>
  </si>
  <si>
    <t>Expansion of access and accessibility of news sources to OSU students</t>
  </si>
  <si>
    <t>.25% GTA appointment, 9 month. Advising coaches &amp; programming initiatives</t>
  </si>
  <si>
    <t>DEI-centered/Academic Enrichment Grant scholarship contributions. All of these contribution-based scholarships will be open for any OSU student to apply.</t>
  </si>
  <si>
    <t>SAF Variable Beneficiary %s</t>
  </si>
  <si>
    <t>Beneficiary</t>
  </si>
  <si>
    <t>Contact</t>
  </si>
  <si>
    <t>Title</t>
  </si>
  <si>
    <t>Shivani Patel, Will Vu</t>
  </si>
  <si>
    <t>Matt Couch, Brittany Crall</t>
  </si>
  <si>
    <t>President</t>
  </si>
  <si>
    <t>Nicholas Messenger, Michelle Scott</t>
  </si>
  <si>
    <t>Jen Pelletier</t>
  </si>
  <si>
    <t>Associate Director, Student Activities</t>
  </si>
  <si>
    <t>Madison Yee</t>
  </si>
  <si>
    <t xml:space="preserve">Megan Haddock </t>
  </si>
  <si>
    <t>Discount Ticket Program Coordinator</t>
  </si>
  <si>
    <t>Coordinator for Service and Outreach</t>
  </si>
  <si>
    <t>Tonya Dawson</t>
  </si>
  <si>
    <t>Associate Director, Campus Events</t>
  </si>
  <si>
    <t>Krystal Vielman, Emily Montenegro</t>
  </si>
  <si>
    <t>Jen Cottrell</t>
  </si>
  <si>
    <t>Associate Dean of Students and Senior Director, Student Activities and Orientation - Ohio Union Business Manager</t>
  </si>
  <si>
    <t>Director, Marketing Operations</t>
  </si>
  <si>
    <t>Brittany Crall, Brooke Olson</t>
  </si>
  <si>
    <t>President - Treasurer</t>
  </si>
  <si>
    <t>President - Vice-President, Treasurer</t>
  </si>
  <si>
    <t>Rebecca Delo</t>
  </si>
  <si>
    <t>Senior Coordinator, Buck-I-Serv</t>
  </si>
  <si>
    <t>Graphics, Video, Photography</t>
  </si>
  <si>
    <t>Assistant Director, OUAB - President</t>
  </si>
  <si>
    <t>Ohio Union Business Manager - Coordinator of Student Involvement and Organizations</t>
  </si>
  <si>
    <t>Event has grown significantly to add elements and expand impact over the years; especially grew after combining with OUAB to create a week's worth of events</t>
  </si>
  <si>
    <t>Concern regarding previous numbers of OSU student attendees, application considered in tandem with AAHF to allow for funding.</t>
  </si>
  <si>
    <t xml:space="preserve">2 day development retreat &amp; weekly professional development meetings are not a signature event.
Entertainers paid for out of budget are all professional non students. Only students win prizes from the festival.
</t>
  </si>
  <si>
    <t>Prize directly paid to student org are not allowed. Org can offset through direct payments through ticket sales. Requirements on cost 4 hours $5, 12 hours $25.
25-50% growth with the attendance of the event, resulting in about 875 people coming, with the target of at least 60% of them being OSU attendees. (525 students)</t>
  </si>
  <si>
    <t>Single large day of service. 70+ communities. PIF provides transportation. Reflection day afterwards. Site leader (open to all students) training directly before the event. Limit to 1000. Encourage students to volunteer on their own time. Groups can all serve together.</t>
  </si>
  <si>
    <t>$/student requested</t>
  </si>
  <si>
    <t>$/student Funded</t>
  </si>
  <si>
    <t>51 KB</t>
  </si>
  <si>
    <t>Fixed Allocations Pullback after 1 year</t>
  </si>
  <si>
    <t>Priority: student organizations, sustaining targeted beneficiary funding</t>
  </si>
  <si>
    <t>Homecoming Parade &amp; Celebration</t>
  </si>
  <si>
    <t>Ohio Union Activities Board</t>
  </si>
  <si>
    <t>$38185? $20,000</t>
  </si>
  <si>
    <t>Target # of Attendees</t>
  </si>
  <si>
    <t>Partnership with versity. Save lives (1125 donations: enough to save around ~300). Competition b/t OSU &amp; Umich. 41st competition. Want to turn around the losses to Umich. Make it a big part of going to OSU. Versity provides blood to OSU hospitals. Helps cancer + sickle cell patients at the James. Want increased donor diversity to improve recipient matches</t>
  </si>
  <si>
    <t>Performances budget is 47k, none goes to OSU students.
Student orgs are offered $100 reimbursement each (30 orgs) to orgs participating in the food/cultural booth.
$1200 total is awarded to 1st, 2nd, 3rd place in food competition, cultural booth competition. most food tickets sold. Paid to student organizations.</t>
  </si>
  <si>
    <t>Host fees went from 2.5k to 6k.
DJs went from 250 to 1.3k
Videographer 100/400 to 1k. Photographer 600 to 1k. Multiple of each in new budget?</t>
  </si>
  <si>
    <t xml:space="preserve">How much money is the African Youth League putting towards this event? $5000
How many OSU students attended African Night the past few years? What is your target number of OSU Student attendees for the next three years?
What are host fees? Host fees went from 2.5k to 6k. DJs went from 250 to 1.3k. Videographer 100/400 to 1k. Photographer 600 to 1k. These are all increases in prices and not services.
</t>
  </si>
  <si>
    <t>International Friendships</t>
  </si>
  <si>
    <t>Who wins the competition prizes?</t>
  </si>
  <si>
    <t>How much $ will International Friendships be putting towards the cost of each of these event from its own funds in the upcoming years? 20%
May you confirm what the target number of OSU students is that you believe will attend for the event in the upcoming years? 1000+
How many OSU students have attended this event in previous years (if it has been run in the past)
To whom will the competition prizes listed in your budget be given out to (Lunar new year)? (students? Any attendees? Student organizations?)</t>
  </si>
  <si>
    <t>$9,000 increase to account for increase due to COVID. More student, faculty and staff thus more attendees that they must accommodate for.</t>
  </si>
  <si>
    <t>637 total, 457 OSU</t>
  </si>
  <si>
    <t>Networking pre-events, dinner, and high school events. Who can attend? OSU students can join. Sponsors. Industry professionals. Highschool event is only for high school students (Prospective OSU students)
Travel $4000 - Miami, Purdue, Akron. Who is being transported where? Reserve buses for students at U of Akron, Purdue, Miami U to and from. Diversity of participants.
10th anniversary celebration $5500 (cake + party favors), what is this and who can attend? Available for everyone. Keepsake/takeaway. All students.</t>
  </si>
  <si>
    <t>BARTHA Visual costs are double has the cost just gone up or are more services being provided? - Increase in prices, same services as before. They asked other companies and it was even more
Interactive components of candlelight ceremony and photographer where is this reflected in the budget. - OSU Photo services</t>
  </si>
  <si>
    <t>Buckeye Campaign Against Suicide</t>
  </si>
  <si>
    <t>Final Budget
Allocations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</si>
</sst>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_(&quot;$&quot;* #,##0_);_(&quot;$&quot;* \(#,##0\);_(&quot;$&quot;* &quot;-&quot;??_);_(@_)"/>
    <numFmt numFmtId="168" formatCode="&quot;$&quot;#,##0.0_);[Red]\(&quot;$&quot;#,##0.0\)"/>
    <numFmt numFmtId="169" formatCode="_(* #,##0_);_(* \(#,##0\);_(* &quot;-&quot;??_);_(@_)"/>
    <numFmt numFmtId="170" formatCode="0.0000000000000%"/>
    <numFmt numFmtId="171" formatCode="0.000"/>
    <numFmt numFmtId="172" formatCode="_(&quot;$&quot;* #,##0.000_);_(&quot;$&quot;* \(#,##0.000\);_(&quot;$&quot;* &quot;-&quot;??_);_(@_)"/>
  </numFmts>
  <fonts count="1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8"/>
      <name val="Calibri"/>
      <family val="2"/>
      <scheme val="minor"/>
    </font>
    <font>
      <b/>
      <u/>
      <sz val="11"/>
      <color theme="1"/>
      <name val="Calibri"/>
      <family val="2"/>
      <scheme val="minor"/>
    </font>
    <font>
      <b/>
      <sz val="9"/>
      <color indexed="81"/>
      <name val="Tahoma"/>
      <family val="2"/>
    </font>
    <font>
      <sz val="9"/>
      <color indexed="81"/>
      <name val="Tahoma"/>
      <family val="2"/>
    </font>
    <font>
      <sz val="11"/>
      <color theme="1"/>
      <name val="Calibri"/>
      <family val="2"/>
      <scheme val="minor"/>
    </font>
    <font>
      <sz val="10"/>
      <color theme="1"/>
      <name val="Calibri"/>
      <family val="2"/>
      <scheme val="minor"/>
    </font>
    <font>
      <sz val="10"/>
      <color rgb="FF000000"/>
      <name val="Tahoma"/>
      <family val="2"/>
    </font>
    <font>
      <b/>
      <i/>
      <sz val="11"/>
      <color theme="1"/>
      <name val="Calibri"/>
      <family val="2"/>
      <scheme val="minor"/>
    </font>
    <font>
      <sz val="11"/>
      <color rgb="FF000000"/>
      <name val="Calibri"/>
      <family val="2"/>
      <scheme val="minor"/>
    </font>
    <font>
      <sz val="11"/>
      <color theme="1"/>
      <name val="Calibri"/>
      <family val="2"/>
    </font>
    <font>
      <sz val="14"/>
      <color theme="1"/>
      <name val="Calibri"/>
      <family val="2"/>
      <scheme val="minor"/>
    </font>
    <font>
      <sz val="11"/>
      <name val="Calibri"/>
      <family val="2"/>
      <scheme val="minor"/>
    </font>
    <font>
      <sz val="11"/>
      <color rgb="FF444444"/>
      <name val="Calibri"/>
      <family val="2"/>
    </font>
    <font>
      <sz val="11"/>
      <color rgb="FF00000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3">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cellStyleXfs>
  <cellXfs count="195">
    <xf numFmtId="0" fontId="0" fillId="0" borderId="0" xfId="0"/>
    <xf numFmtId="0" fontId="3" fillId="0" borderId="1" xfId="0" applyFont="1" applyBorder="1" applyAlignment="1">
      <alignment horizontal="center"/>
    </xf>
    <xf numFmtId="0" fontId="3" fillId="2" borderId="2" xfId="0" applyFont="1" applyFill="1" applyBorder="1"/>
    <xf numFmtId="0" fontId="3" fillId="2" borderId="3" xfId="0" applyFont="1" applyFill="1" applyBorder="1"/>
    <xf numFmtId="0" fontId="4" fillId="0" borderId="1" xfId="0" applyFont="1" applyBorder="1" applyAlignment="1">
      <alignment horizontal="center"/>
    </xf>
    <xf numFmtId="0" fontId="2" fillId="0" borderId="1" xfId="0" applyFont="1" applyBorder="1"/>
    <xf numFmtId="0" fontId="2" fillId="0" borderId="4" xfId="0" applyFont="1" applyBorder="1"/>
    <xf numFmtId="0" fontId="2" fillId="0" borderId="5" xfId="0" applyFont="1" applyBorder="1"/>
    <xf numFmtId="0" fontId="2" fillId="0" borderId="1"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center"/>
    </xf>
    <xf numFmtId="0" fontId="4" fillId="0" borderId="0" xfId="0" applyFont="1" applyAlignment="1">
      <alignment horizontal="center"/>
    </xf>
    <xf numFmtId="0" fontId="2" fillId="0" borderId="0" xfId="0" applyFont="1"/>
    <xf numFmtId="164" fontId="0" fillId="0" borderId="0" xfId="0" applyNumberFormat="1"/>
    <xf numFmtId="164" fontId="2" fillId="0" borderId="0" xfId="0" applyNumberFormat="1" applyFont="1" applyAlignment="1">
      <alignment horizontal="center"/>
    </xf>
    <xf numFmtId="164" fontId="3" fillId="0" borderId="0" xfId="0" applyNumberFormat="1" applyFont="1" applyAlignment="1">
      <alignment horizontal="center"/>
    </xf>
    <xf numFmtId="164" fontId="2" fillId="0" borderId="0" xfId="0" applyNumberFormat="1" applyFont="1"/>
    <xf numFmtId="0" fontId="6" fillId="0" borderId="0" xfId="0" applyFont="1" applyAlignment="1">
      <alignment horizontal="center"/>
    </xf>
    <xf numFmtId="164" fontId="2" fillId="3" borderId="0" xfId="0" applyNumberFormat="1" applyFont="1" applyFill="1" applyAlignment="1">
      <alignment horizontal="center"/>
    </xf>
    <xf numFmtId="4" fontId="0" fillId="0" borderId="0" xfId="0" applyNumberFormat="1"/>
    <xf numFmtId="164" fontId="3" fillId="0" borderId="6" xfId="0" applyNumberFormat="1" applyFont="1" applyBorder="1" applyAlignment="1">
      <alignment horizontal="center"/>
    </xf>
    <xf numFmtId="0" fontId="2" fillId="3" borderId="1" xfId="0" applyFont="1" applyFill="1" applyBorder="1" applyAlignment="1">
      <alignment horizontal="left"/>
    </xf>
    <xf numFmtId="164" fontId="2" fillId="0" borderId="6" xfId="0" applyNumberFormat="1" applyFont="1" applyBorder="1"/>
    <xf numFmtId="0" fontId="3" fillId="2" borderId="7" xfId="0" applyFont="1" applyFill="1" applyBorder="1"/>
    <xf numFmtId="0" fontId="2" fillId="0" borderId="8" xfId="0" applyFont="1" applyBorder="1"/>
    <xf numFmtId="0" fontId="3" fillId="2" borderId="9" xfId="0" applyFont="1" applyFill="1" applyBorder="1"/>
    <xf numFmtId="9" fontId="6" fillId="0" borderId="9" xfId="0" applyNumberFormat="1" applyFont="1" applyBorder="1" applyAlignment="1">
      <alignment horizontal="center"/>
    </xf>
    <xf numFmtId="0" fontId="2" fillId="0" borderId="9" xfId="0" applyFont="1" applyBorder="1"/>
    <xf numFmtId="0" fontId="0" fillId="0" borderId="0" xfId="0" applyAlignment="1">
      <alignment wrapText="1"/>
    </xf>
    <xf numFmtId="44" fontId="0" fillId="0" borderId="0" xfId="1" applyFont="1" applyBorder="1"/>
    <xf numFmtId="44" fontId="0" fillId="0" borderId="0" xfId="0" applyNumberFormat="1"/>
    <xf numFmtId="10" fontId="0" fillId="0" borderId="9" xfId="0" applyNumberFormat="1" applyBorder="1"/>
    <xf numFmtId="165" fontId="0" fillId="0" borderId="9" xfId="0" applyNumberFormat="1" applyBorder="1"/>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3" fillId="2" borderId="13" xfId="0" applyFont="1" applyFill="1" applyBorder="1"/>
    <xf numFmtId="4" fontId="2" fillId="0" borderId="15" xfId="0" applyNumberFormat="1" applyFont="1" applyBorder="1"/>
    <xf numFmtId="164" fontId="2" fillId="0" borderId="16" xfId="0" applyNumberFormat="1" applyFont="1" applyBorder="1"/>
    <xf numFmtId="0" fontId="2" fillId="0" borderId="15" xfId="0" applyFont="1" applyBorder="1"/>
    <xf numFmtId="164" fontId="2" fillId="0" borderId="17" xfId="0" applyNumberFormat="1" applyFont="1" applyBorder="1"/>
    <xf numFmtId="164" fontId="2" fillId="0" borderId="18" xfId="0" applyNumberFormat="1" applyFont="1" applyBorder="1"/>
    <xf numFmtId="0" fontId="2" fillId="0" borderId="16" xfId="0" applyFont="1" applyBorder="1"/>
    <xf numFmtId="164" fontId="2" fillId="0" borderId="19" xfId="0" applyNumberFormat="1" applyFont="1" applyBorder="1"/>
    <xf numFmtId="164" fontId="2" fillId="0" borderId="20" xfId="0" applyNumberFormat="1" applyFont="1" applyBorder="1"/>
    <xf numFmtId="164" fontId="2" fillId="0" borderId="21" xfId="0" applyNumberFormat="1" applyFont="1" applyBorder="1"/>
    <xf numFmtId="164" fontId="2" fillId="0" borderId="15" xfId="0" applyNumberFormat="1" applyFont="1" applyBorder="1"/>
    <xf numFmtId="164" fontId="0" fillId="0" borderId="15" xfId="0" applyNumberFormat="1" applyBorder="1"/>
    <xf numFmtId="164" fontId="2" fillId="3" borderId="16" xfId="0" applyNumberFormat="1" applyFont="1" applyFill="1" applyBorder="1"/>
    <xf numFmtId="164" fontId="2" fillId="3" borderId="15" xfId="0" applyNumberFormat="1" applyFont="1" applyFill="1" applyBorder="1"/>
    <xf numFmtId="10" fontId="0" fillId="3" borderId="9" xfId="0" applyNumberFormat="1" applyFill="1" applyBorder="1"/>
    <xf numFmtId="0" fontId="3" fillId="2" borderId="14" xfId="0" applyFont="1" applyFill="1" applyBorder="1"/>
    <xf numFmtId="0" fontId="0" fillId="0" borderId="0" xfId="0" applyAlignment="1">
      <alignment horizontal="center"/>
    </xf>
    <xf numFmtId="9" fontId="0" fillId="0" borderId="0" xfId="0" quotePrefix="1" applyNumberFormat="1"/>
    <xf numFmtId="6" fontId="0" fillId="0" borderId="0" xfId="0" applyNumberFormat="1"/>
    <xf numFmtId="8" fontId="0" fillId="0" borderId="0" xfId="0" applyNumberFormat="1"/>
    <xf numFmtId="166" fontId="0" fillId="0" borderId="0" xfId="0" applyNumberFormat="1"/>
    <xf numFmtId="167" fontId="0" fillId="0" borderId="0" xfId="1" applyNumberFormat="1" applyFont="1"/>
    <xf numFmtId="0" fontId="0" fillId="0" borderId="9" xfId="0" applyBorder="1"/>
    <xf numFmtId="6" fontId="0" fillId="0" borderId="9" xfId="0" applyNumberFormat="1" applyBorder="1"/>
    <xf numFmtId="167" fontId="0" fillId="0" borderId="9" xfId="1" applyNumberFormat="1" applyFont="1" applyBorder="1"/>
    <xf numFmtId="8" fontId="0" fillId="0" borderId="9" xfId="0" applyNumberFormat="1" applyBorder="1"/>
    <xf numFmtId="166" fontId="0" fillId="0" borderId="9" xfId="0" applyNumberFormat="1" applyBorder="1"/>
    <xf numFmtId="167" fontId="2" fillId="0" borderId="4" xfId="1" applyNumberFormat="1" applyFont="1" applyBorder="1"/>
    <xf numFmtId="166" fontId="2" fillId="0" borderId="0" xfId="0" applyNumberFormat="1" applyFont="1"/>
    <xf numFmtId="167" fontId="2" fillId="0" borderId="9" xfId="1" applyNumberFormat="1" applyFont="1" applyBorder="1"/>
    <xf numFmtId="167" fontId="0" fillId="0" borderId="0" xfId="0" applyNumberFormat="1"/>
    <xf numFmtId="167" fontId="0" fillId="0" borderId="9" xfId="0" applyNumberFormat="1" applyBorder="1"/>
    <xf numFmtId="167" fontId="10" fillId="0" borderId="9" xfId="1" applyNumberFormat="1" applyFont="1" applyBorder="1"/>
    <xf numFmtId="0" fontId="10" fillId="0" borderId="9" xfId="0" applyFont="1" applyBorder="1"/>
    <xf numFmtId="0" fontId="6" fillId="0" borderId="9" xfId="0" applyFont="1" applyBorder="1" applyAlignment="1">
      <alignment horizontal="center" wrapText="1"/>
    </xf>
    <xf numFmtId="166" fontId="2" fillId="0" borderId="9" xfId="0" applyNumberFormat="1" applyFont="1" applyBorder="1"/>
    <xf numFmtId="166" fontId="3" fillId="2" borderId="9" xfId="0" applyNumberFormat="1" applyFont="1" applyFill="1" applyBorder="1"/>
    <xf numFmtId="166" fontId="2" fillId="3" borderId="9" xfId="0" applyNumberFormat="1" applyFont="1" applyFill="1" applyBorder="1"/>
    <xf numFmtId="0" fontId="0" fillId="5" borderId="9" xfId="0" applyFill="1" applyBorder="1"/>
    <xf numFmtId="168" fontId="0" fillId="0" borderId="0" xfId="0" applyNumberFormat="1"/>
    <xf numFmtId="167" fontId="0" fillId="0" borderId="0" xfId="1" applyNumberFormat="1" applyFont="1" applyBorder="1"/>
    <xf numFmtId="0" fontId="11" fillId="0" borderId="26" xfId="0" applyFont="1" applyBorder="1" applyAlignment="1">
      <alignment vertical="top" readingOrder="1"/>
    </xf>
    <xf numFmtId="0" fontId="11" fillId="0" borderId="27" xfId="0" applyFont="1" applyBorder="1" applyAlignment="1">
      <alignment vertical="top" readingOrder="1"/>
    </xf>
    <xf numFmtId="0" fontId="0" fillId="0" borderId="9" xfId="0" applyBorder="1" applyAlignment="1">
      <alignment horizontal="center" vertical="center"/>
    </xf>
    <xf numFmtId="167" fontId="2" fillId="0" borderId="0" xfId="1" applyNumberFormat="1" applyFont="1" applyBorder="1"/>
    <xf numFmtId="9" fontId="2" fillId="0" borderId="9" xfId="2" applyFont="1" applyBorder="1"/>
    <xf numFmtId="166" fontId="4" fillId="2" borderId="9" xfId="0" applyNumberFormat="1" applyFont="1" applyFill="1" applyBorder="1" applyAlignment="1">
      <alignment horizontal="center"/>
    </xf>
    <xf numFmtId="0" fontId="11" fillId="0" borderId="0" xfId="0" applyFont="1" applyAlignment="1">
      <alignment vertical="top" readingOrder="1"/>
    </xf>
    <xf numFmtId="9" fontId="0" fillId="0" borderId="0" xfId="2" applyFont="1"/>
    <xf numFmtId="0" fontId="0" fillId="0" borderId="0" xfId="0" quotePrefix="1"/>
    <xf numFmtId="167" fontId="0" fillId="3" borderId="9" xfId="1" applyNumberFormat="1" applyFont="1" applyFill="1" applyBorder="1"/>
    <xf numFmtId="9" fontId="0" fillId="3" borderId="9" xfId="2" applyFont="1" applyFill="1" applyBorder="1"/>
    <xf numFmtId="0" fontId="12" fillId="0" borderId="0" xfId="0" applyFont="1"/>
    <xf numFmtId="0" fontId="12" fillId="0" borderId="0" xfId="0" applyFont="1" applyAlignment="1">
      <alignment wrapText="1"/>
    </xf>
    <xf numFmtId="0" fontId="0" fillId="0" borderId="0" xfId="0" applyAlignment="1">
      <alignment horizontal="left"/>
    </xf>
    <xf numFmtId="14" fontId="0" fillId="0" borderId="0" xfId="0" applyNumberFormat="1" applyAlignment="1">
      <alignment wrapText="1"/>
    </xf>
    <xf numFmtId="14" fontId="0" fillId="0" borderId="0" xfId="0" applyNumberFormat="1" applyAlignment="1">
      <alignment horizontal="left"/>
    </xf>
    <xf numFmtId="6" fontId="0" fillId="3" borderId="0" xfId="0" applyNumberFormat="1" applyFill="1"/>
    <xf numFmtId="0" fontId="0" fillId="0" borderId="0" xfId="0" applyAlignment="1">
      <alignment horizontal="left" wrapText="1"/>
    </xf>
    <xf numFmtId="0" fontId="0" fillId="0" borderId="23" xfId="0" applyBorder="1"/>
    <xf numFmtId="6" fontId="0" fillId="0" borderId="23" xfId="0" applyNumberFormat="1" applyBorder="1"/>
    <xf numFmtId="6" fontId="0" fillId="0" borderId="23" xfId="0" applyNumberFormat="1" applyBorder="1" applyAlignment="1">
      <alignment wrapText="1"/>
    </xf>
    <xf numFmtId="0" fontId="0" fillId="0" borderId="23" xfId="0" applyBorder="1" applyAlignment="1">
      <alignment horizontal="left"/>
    </xf>
    <xf numFmtId="6" fontId="0" fillId="0" borderId="0" xfId="0" applyNumberFormat="1" applyAlignment="1">
      <alignment wrapText="1"/>
    </xf>
    <xf numFmtId="0" fontId="13" fillId="0" borderId="0" xfId="0" applyFont="1" applyAlignment="1">
      <alignment wrapText="1"/>
    </xf>
    <xf numFmtId="8" fontId="0" fillId="3" borderId="0" xfId="0" applyNumberFormat="1" applyFill="1"/>
    <xf numFmtId="0" fontId="0" fillId="3" borderId="0" xfId="0" applyFill="1"/>
    <xf numFmtId="0" fontId="13" fillId="0" borderId="0" xfId="0" applyFont="1" applyAlignment="1">
      <alignment vertical="center"/>
    </xf>
    <xf numFmtId="0" fontId="0" fillId="0" borderId="0" xfId="0" applyAlignment="1">
      <alignment vertical="center"/>
    </xf>
    <xf numFmtId="0" fontId="0" fillId="0" borderId="9" xfId="0" applyBorder="1" applyAlignment="1">
      <alignment horizontal="left" vertical="center" wrapText="1"/>
    </xf>
    <xf numFmtId="0" fontId="14" fillId="0" borderId="0" xfId="0" applyFont="1"/>
    <xf numFmtId="167" fontId="2" fillId="0" borderId="0" xfId="1" applyNumberFormat="1" applyFont="1"/>
    <xf numFmtId="1" fontId="0" fillId="0" borderId="0" xfId="0" applyNumberFormat="1"/>
    <xf numFmtId="9" fontId="11" fillId="0" borderId="27" xfId="0" applyNumberFormat="1" applyFont="1" applyBorder="1" applyAlignment="1">
      <alignment vertical="top" readingOrder="1"/>
    </xf>
    <xf numFmtId="167" fontId="11" fillId="0" borderId="0" xfId="0" applyNumberFormat="1" applyFont="1" applyAlignment="1">
      <alignment vertical="top" readingOrder="1"/>
    </xf>
    <xf numFmtId="0" fontId="13" fillId="0" borderId="9" xfId="0" applyFont="1" applyBorder="1"/>
    <xf numFmtId="0" fontId="13" fillId="0" borderId="0" xfId="0" applyFont="1"/>
    <xf numFmtId="10" fontId="13" fillId="0" borderId="0" xfId="0" applyNumberFormat="1" applyFont="1"/>
    <xf numFmtId="166" fontId="2" fillId="5" borderId="24" xfId="0" applyNumberFormat="1" applyFont="1" applyFill="1" applyBorder="1"/>
    <xf numFmtId="166" fontId="2" fillId="5" borderId="28" xfId="0" applyNumberFormat="1" applyFont="1" applyFill="1" applyBorder="1"/>
    <xf numFmtId="166" fontId="2" fillId="5" borderId="25" xfId="0" applyNumberFormat="1" applyFont="1" applyFill="1" applyBorder="1"/>
    <xf numFmtId="166" fontId="2" fillId="5" borderId="2" xfId="0" applyNumberFormat="1" applyFont="1" applyFill="1" applyBorder="1"/>
    <xf numFmtId="166" fontId="2" fillId="5" borderId="3" xfId="0" applyNumberFormat="1" applyFont="1" applyFill="1" applyBorder="1"/>
    <xf numFmtId="166" fontId="2" fillId="5" borderId="7" xfId="0" applyNumberFormat="1" applyFont="1" applyFill="1" applyBorder="1"/>
    <xf numFmtId="164" fontId="0" fillId="0" borderId="9" xfId="0" applyNumberFormat="1" applyBorder="1"/>
    <xf numFmtId="165" fontId="0" fillId="0" borderId="0" xfId="2" applyNumberFormat="1" applyFont="1"/>
    <xf numFmtId="10" fontId="0" fillId="0" borderId="0" xfId="2" applyNumberFormat="1" applyFont="1"/>
    <xf numFmtId="166" fontId="1" fillId="0" borderId="24" xfId="0" applyNumberFormat="1" applyFont="1" applyBorder="1"/>
    <xf numFmtId="0" fontId="0" fillId="0" borderId="9" xfId="0" applyBorder="1" applyAlignment="1"/>
    <xf numFmtId="165" fontId="4" fillId="2" borderId="9" xfId="0" applyNumberFormat="1" applyFont="1" applyFill="1" applyBorder="1" applyAlignment="1">
      <alignment horizontal="center"/>
    </xf>
    <xf numFmtId="166" fontId="1" fillId="0" borderId="29" xfId="0" applyNumberFormat="1" applyFont="1" applyBorder="1"/>
    <xf numFmtId="44" fontId="0" fillId="0" borderId="9" xfId="1" applyFont="1" applyBorder="1"/>
    <xf numFmtId="166" fontId="1" fillId="3" borderId="9" xfId="0" applyNumberFormat="1" applyFont="1" applyFill="1" applyBorder="1"/>
    <xf numFmtId="166" fontId="1" fillId="0" borderId="9" xfId="0" applyNumberFormat="1" applyFont="1" applyBorder="1"/>
    <xf numFmtId="165" fontId="1" fillId="0" borderId="9" xfId="2" applyNumberFormat="1" applyFont="1" applyBorder="1"/>
    <xf numFmtId="165" fontId="1" fillId="0" borderId="29" xfId="2" applyNumberFormat="1" applyFont="1" applyBorder="1"/>
    <xf numFmtId="166" fontId="1" fillId="0" borderId="25" xfId="0" applyNumberFormat="1" applyFont="1" applyBorder="1"/>
    <xf numFmtId="165" fontId="1" fillId="0" borderId="25" xfId="0" applyNumberFormat="1" applyFont="1" applyBorder="1"/>
    <xf numFmtId="166" fontId="1" fillId="5" borderId="2" xfId="0" applyNumberFormat="1" applyFont="1" applyFill="1" applyBorder="1"/>
    <xf numFmtId="166" fontId="1" fillId="5" borderId="3" xfId="0" applyNumberFormat="1" applyFont="1" applyFill="1" applyBorder="1"/>
    <xf numFmtId="166" fontId="1" fillId="5" borderId="7" xfId="0" applyNumberFormat="1" applyFont="1" applyFill="1" applyBorder="1"/>
    <xf numFmtId="167" fontId="1" fillId="0" borderId="9" xfId="1" applyNumberFormat="1" applyFont="1" applyBorder="1"/>
    <xf numFmtId="166" fontId="1" fillId="0" borderId="9" xfId="1" applyNumberFormat="1" applyFont="1" applyBorder="1"/>
    <xf numFmtId="0" fontId="0" fillId="4" borderId="9" xfId="0" applyFill="1" applyBorder="1" applyAlignment="1">
      <alignment wrapText="1"/>
    </xf>
    <xf numFmtId="0" fontId="0" fillId="4" borderId="30" xfId="0" applyFill="1" applyBorder="1" applyAlignment="1">
      <alignment wrapText="1"/>
    </xf>
    <xf numFmtId="0" fontId="0" fillId="3" borderId="1" xfId="0" applyFill="1" applyBorder="1" applyAlignment="1">
      <alignment wrapText="1"/>
    </xf>
    <xf numFmtId="0" fontId="0" fillId="3" borderId="0" xfId="0" applyFill="1" applyAlignment="1">
      <alignment wrapText="1"/>
    </xf>
    <xf numFmtId="167" fontId="0" fillId="4" borderId="9" xfId="1" applyNumberFormat="1" applyFont="1" applyFill="1" applyBorder="1" applyAlignment="1">
      <alignment wrapText="1"/>
    </xf>
    <xf numFmtId="167" fontId="0" fillId="0" borderId="31" xfId="1" applyNumberFormat="1" applyFont="1" applyBorder="1" applyAlignment="1">
      <alignment horizontal="left" vertical="center" wrapText="1"/>
    </xf>
    <xf numFmtId="167" fontId="0" fillId="0" borderId="31" xfId="1" applyNumberFormat="1" applyFont="1" applyBorder="1" applyAlignment="1">
      <alignment horizontal="left" vertical="center"/>
    </xf>
    <xf numFmtId="0" fontId="0" fillId="0" borderId="9" xfId="0" applyBorder="1" applyAlignment="1">
      <alignment horizontal="left"/>
    </xf>
    <xf numFmtId="0" fontId="0" fillId="0" borderId="0" xfId="0" applyAlignment="1">
      <alignment horizontal="left" vertical="center"/>
    </xf>
    <xf numFmtId="9" fontId="0" fillId="0" borderId="9" xfId="2" applyFont="1" applyBorder="1"/>
    <xf numFmtId="0" fontId="0" fillId="0" borderId="0" xfId="0" applyAlignment="1">
      <alignment vertical="center" wrapText="1"/>
    </xf>
    <xf numFmtId="3" fontId="0" fillId="0" borderId="0" xfId="0" applyNumberFormat="1"/>
    <xf numFmtId="165" fontId="1" fillId="0" borderId="24" xfId="2" applyNumberFormat="1" applyFont="1" applyBorder="1"/>
    <xf numFmtId="169" fontId="0" fillId="0" borderId="0" xfId="3" applyNumberFormat="1" applyFont="1"/>
    <xf numFmtId="43" fontId="0" fillId="0" borderId="0" xfId="0" applyNumberFormat="1"/>
    <xf numFmtId="170" fontId="0" fillId="0" borderId="0" xfId="0" applyNumberFormat="1"/>
    <xf numFmtId="2" fontId="0" fillId="0" borderId="0" xfId="2" applyNumberFormat="1" applyFont="1"/>
    <xf numFmtId="171" fontId="0" fillId="0" borderId="0" xfId="2" applyNumberFormat="1" applyFont="1"/>
    <xf numFmtId="44" fontId="0" fillId="0" borderId="9" xfId="0" applyNumberFormat="1" applyBorder="1"/>
    <xf numFmtId="172" fontId="0" fillId="0" borderId="9" xfId="1" applyNumberFormat="1" applyFont="1" applyBorder="1"/>
    <xf numFmtId="165" fontId="0" fillId="0" borderId="0" xfId="2" applyNumberFormat="1" applyFont="1" applyBorder="1"/>
    <xf numFmtId="0" fontId="3" fillId="2" borderId="2" xfId="0" applyFont="1" applyFill="1" applyBorder="1" applyAlignment="1">
      <alignment wrapText="1"/>
    </xf>
    <xf numFmtId="10" fontId="1" fillId="0" borderId="24" xfId="2" applyNumberFormat="1" applyFont="1" applyBorder="1"/>
    <xf numFmtId="0" fontId="10" fillId="0" borderId="9" xfId="0" applyFont="1" applyBorder="1" applyAlignment="1">
      <alignment horizontal="left" vertical="center" wrapText="1"/>
    </xf>
    <xf numFmtId="44" fontId="0" fillId="0" borderId="9" xfId="1" applyNumberFormat="1" applyFont="1" applyBorder="1"/>
    <xf numFmtId="18" fontId="0" fillId="0" borderId="0" xfId="0" applyNumberFormat="1"/>
    <xf numFmtId="167" fontId="0" fillId="0" borderId="0" xfId="1" applyNumberFormat="1" applyFont="1" applyBorder="1" applyAlignment="1">
      <alignment horizontal="left" vertical="top"/>
    </xf>
    <xf numFmtId="167" fontId="0" fillId="0" borderId="9" xfId="1" applyNumberFormat="1" applyFont="1" applyBorder="1" applyAlignment="1">
      <alignment horizontal="left" vertical="center" wrapText="1"/>
    </xf>
    <xf numFmtId="167" fontId="0" fillId="0" borderId="9" xfId="1" applyNumberFormat="1" applyFont="1" applyBorder="1" applyAlignment="1">
      <alignment horizontal="left" vertical="center"/>
    </xf>
    <xf numFmtId="0" fontId="0" fillId="0" borderId="32" xfId="0" applyBorder="1"/>
    <xf numFmtId="0" fontId="0" fillId="6" borderId="9" xfId="0" applyFill="1" applyBorder="1" applyAlignment="1">
      <alignment wrapText="1"/>
    </xf>
    <xf numFmtId="0" fontId="0" fillId="7" borderId="9" xfId="0" applyFill="1"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horizontal="right" vertical="center" wrapText="1"/>
    </xf>
    <xf numFmtId="164" fontId="0" fillId="0" borderId="9" xfId="1" applyNumberFormat="1" applyFont="1" applyBorder="1" applyAlignment="1">
      <alignment horizontal="right" vertical="center"/>
    </xf>
    <xf numFmtId="0" fontId="0" fillId="6" borderId="9" xfId="0" applyFill="1" applyBorder="1" applyAlignment="1">
      <alignment horizontal="right" vertical="center" wrapText="1"/>
    </xf>
    <xf numFmtId="0" fontId="18" fillId="0" borderId="9" xfId="0" applyFont="1" applyBorder="1" applyAlignment="1">
      <alignment wrapText="1"/>
    </xf>
    <xf numFmtId="0" fontId="18" fillId="0" borderId="9" xfId="0" applyFont="1" applyBorder="1"/>
    <xf numFmtId="0" fontId="0" fillId="8" borderId="9" xfId="0" applyFill="1" applyBorder="1" applyAlignment="1">
      <alignment horizontal="left" vertical="center"/>
    </xf>
    <xf numFmtId="0" fontId="0" fillId="3" borderId="9" xfId="0" applyFill="1" applyBorder="1" applyAlignment="1">
      <alignment horizontal="left" vertical="center" wrapText="1"/>
    </xf>
    <xf numFmtId="0" fontId="0" fillId="0" borderId="9" xfId="0"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horizontal="left" vertical="top" wrapText="1"/>
    </xf>
    <xf numFmtId="0" fontId="0" fillId="0" borderId="9" xfId="0" applyBorder="1" applyAlignment="1">
      <alignment horizontal="left" wrapText="1"/>
    </xf>
    <xf numFmtId="0" fontId="0" fillId="4" borderId="9" xfId="0" applyFill="1" applyBorder="1" applyAlignment="1">
      <alignment horizontal="left" vertical="top" wrapText="1"/>
    </xf>
    <xf numFmtId="0" fontId="0" fillId="0" borderId="9" xfId="0" applyBorder="1" applyAlignment="1">
      <alignment wrapText="1"/>
    </xf>
    <xf numFmtId="0" fontId="16" fillId="4" borderId="9" xfId="0" applyFont="1" applyFill="1" applyBorder="1" applyAlignment="1">
      <alignment horizontal="left" vertical="top" wrapText="1"/>
    </xf>
    <xf numFmtId="0" fontId="17" fillId="0" borderId="9" xfId="0" applyFont="1" applyBorder="1"/>
    <xf numFmtId="0" fontId="0" fillId="0" borderId="9" xfId="0" applyBorder="1" applyAlignment="1">
      <alignment horizontal="center"/>
    </xf>
    <xf numFmtId="0" fontId="15" fillId="0" borderId="22" xfId="0" applyFont="1" applyBorder="1" applyAlignment="1">
      <alignment horizontal="center" wrapText="1"/>
    </xf>
    <xf numFmtId="166" fontId="1" fillId="2" borderId="2" xfId="0" applyNumberFormat="1" applyFont="1" applyFill="1" applyBorder="1" applyAlignment="1">
      <alignment horizontal="left"/>
    </xf>
    <xf numFmtId="166" fontId="1" fillId="2" borderId="7" xfId="0" applyNumberFormat="1" applyFont="1" applyFill="1" applyBorder="1" applyAlignment="1">
      <alignment horizontal="left"/>
    </xf>
    <xf numFmtId="0" fontId="0" fillId="4" borderId="9" xfId="0" applyFill="1" applyBorder="1" applyAlignment="1">
      <alignment horizontal="center"/>
    </xf>
    <xf numFmtId="167" fontId="0" fillId="0" borderId="9" xfId="1" applyNumberFormat="1" applyFont="1" applyBorder="1" applyAlignment="1">
      <alignment horizontal="center"/>
    </xf>
    <xf numFmtId="167" fontId="0" fillId="4" borderId="9" xfId="1" applyNumberFormat="1" applyFont="1" applyFill="1" applyBorder="1" applyAlignment="1">
      <alignment horizontal="center"/>
    </xf>
    <xf numFmtId="0" fontId="0" fillId="4" borderId="9" xfId="0" applyFill="1" applyBorder="1" applyAlignment="1">
      <alignment horizontal="left" vertical="top" wrapText="1"/>
    </xf>
  </cellXfs>
  <cellStyles count="4">
    <cellStyle name="Comma" xfId="3" builtinId="3"/>
    <cellStyle name="Currency" xfId="1" builtinId="4"/>
    <cellStyle name="Normal" xfId="0" builtinId="0"/>
    <cellStyle name="Percent" xfId="2" builtinId="5"/>
  </cellStyles>
  <dxfs count="3">
    <dxf>
      <fill>
        <patternFill>
          <bgColor rgb="FFFF6565"/>
        </patternFill>
      </fill>
    </dxf>
    <dxf>
      <fill>
        <patternFill>
          <bgColor rgb="FF00B050"/>
        </patternFill>
      </fill>
    </dxf>
    <dxf>
      <fill>
        <patternFill>
          <bgColor theme="7" tint="0.59996337778862885"/>
        </patternFill>
      </fill>
    </dxf>
  </dxfs>
  <tableStyles count="0" defaultTableStyle="TableStyleMedium2" defaultPivotStyle="PivotStyleLight16"/>
  <colors>
    <mruColors>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17</xdr:col>
      <xdr:colOff>91966</xdr:colOff>
      <xdr:row>54</xdr:row>
      <xdr:rowOff>129807</xdr:rowOff>
    </xdr:from>
    <xdr:to>
      <xdr:col>22</xdr:col>
      <xdr:colOff>388512</xdr:colOff>
      <xdr:row>61</xdr:row>
      <xdr:rowOff>111672</xdr:rowOff>
    </xdr:to>
    <xdr:sp macro="" textlink="">
      <xdr:nvSpPr>
        <xdr:cNvPr id="6" name="TextBox 1">
          <a:extLst>
            <a:ext uri="{FF2B5EF4-FFF2-40B4-BE49-F238E27FC236}">
              <a16:creationId xmlns:a16="http://schemas.microsoft.com/office/drawing/2014/main" id="{F2C6DEB7-ECE7-4AB3-88A0-7F49F8FE13C0}"/>
            </a:ext>
          </a:extLst>
        </xdr:cNvPr>
        <xdr:cNvSpPr txBox="1"/>
      </xdr:nvSpPr>
      <xdr:spPr>
        <a:xfrm>
          <a:off x="11331466" y="10416807"/>
          <a:ext cx="3252580" cy="1315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 the next two years, our student organizations team will envision and implement a holistic student organization experience and align all of our offerings within that structure. The four key elements include getting involved, strengthening organizations, building leaders, and leaving a legacy. We will leverage existing and new programming and resources within this structure. To achieve this work, we are seeking additional staffing resources</a:t>
          </a:r>
        </a:p>
      </xdr:txBody>
    </xdr:sp>
    <xdr:clientData/>
  </xdr:twoCellAnchor>
  <xdr:twoCellAnchor>
    <xdr:from>
      <xdr:col>7</xdr:col>
      <xdr:colOff>72258</xdr:colOff>
      <xdr:row>2</xdr:row>
      <xdr:rowOff>13138</xdr:rowOff>
    </xdr:from>
    <xdr:to>
      <xdr:col>16</xdr:col>
      <xdr:colOff>302172</xdr:colOff>
      <xdr:row>8</xdr:row>
      <xdr:rowOff>0</xdr:rowOff>
    </xdr:to>
    <xdr:sp macro="" textlink="">
      <xdr:nvSpPr>
        <xdr:cNvPr id="3" name="TextBox 2">
          <a:extLst>
            <a:ext uri="{FF2B5EF4-FFF2-40B4-BE49-F238E27FC236}">
              <a16:creationId xmlns:a16="http://schemas.microsoft.com/office/drawing/2014/main" id="{48107ADE-DA29-4789-8416-AF1E2E1FA91A}"/>
            </a:ext>
            <a:ext uri="{147F2762-F138-4A5C-976F-8EAC2B608ADB}">
              <a16:predDERef xmlns:a16="http://schemas.microsoft.com/office/drawing/2014/main" pred="{F2C6DEB7-ECE7-4AB3-88A0-7F49F8FE13C0}"/>
            </a:ext>
          </a:extLst>
        </xdr:cNvPr>
        <xdr:cNvSpPr txBox="1"/>
      </xdr:nvSpPr>
      <xdr:spPr>
        <a:xfrm>
          <a:off x="4841327" y="394138"/>
          <a:ext cx="5728138" cy="11561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dk1"/>
              </a:solidFill>
              <a:effectLst/>
              <a:latin typeface="+mn-lt"/>
              <a:ea typeface="+mn-ea"/>
              <a:cs typeface="+mn-cs"/>
            </a:rPr>
            <a:t>Examples of individuals that we would be interested in recruiting in the future include well-known activism faculty such as Dorceta Taylor, an environmentalism sociologist that specializes in environmental justice and racism in the environmental is movement and serves as a Senior Associate Dean of Diversity, Equity, and Inclusion at Yale. In this hypothetical, Dr Taylor would be an ideal speaker for our Spring into Service initiative to further the Ohio State community engagement and understanding of issues relating to sustainability while honoring Pay It Forward's commitment to Diversity, Equity, &amp; Inclusion efforts by loaning an important and needed lens of the ways in which underrepresented communities are disproportionately affected by issues of environmental stewardship and climate change. </a:t>
          </a:r>
          <a:endParaRPr lang="en-US" sz="900"/>
        </a:p>
      </xdr:txBody>
    </xdr:sp>
    <xdr:clientData/>
  </xdr:twoCellAnchor>
  <mc:AlternateContent xmlns:mc="http://schemas.openxmlformats.org/markup-compatibility/2006">
    <mc:Choice xmlns:a14="http://schemas.microsoft.com/office/drawing/2010/main" Requires="a14">
      <xdr:twoCellAnchor editAs="oneCell">
        <xdr:from>
          <xdr:col>10</xdr:col>
          <xdr:colOff>27851</xdr:colOff>
          <xdr:row>12</xdr:row>
          <xdr:rowOff>53277</xdr:rowOff>
        </xdr:from>
        <xdr:to>
          <xdr:col>15</xdr:col>
          <xdr:colOff>312806</xdr:colOff>
          <xdr:row>23</xdr:row>
          <xdr:rowOff>51634</xdr:rowOff>
        </xdr:to>
        <xdr:pic>
          <xdr:nvPicPr>
            <xdr:cNvPr id="4" name="Picture 3">
              <a:extLst>
                <a:ext uri="{FF2B5EF4-FFF2-40B4-BE49-F238E27FC236}">
                  <a16:creationId xmlns:a16="http://schemas.microsoft.com/office/drawing/2014/main" id="{052C32F0-04E4-4E68-97FE-8AC1411F18D2}"/>
                </a:ext>
              </a:extLst>
            </xdr:cNvPr>
            <xdr:cNvPicPr>
              <a:picLocks noChangeAspect="1" noChangeArrowheads="1"/>
              <a:extLst>
                <a:ext uri="{84589F7E-364E-4C9E-8A38-B11213B215E9}">
                  <a14:cameraTool cellRange="#REF!" spid="_x0000_s4704"/>
                </a:ext>
              </a:extLst>
            </xdr:cNvPicPr>
          </xdr:nvPicPr>
          <xdr:blipFill>
            <a:blip xmlns:r="http://schemas.openxmlformats.org/officeDocument/2006/relationships" r:embed="rId1"/>
            <a:srcRect/>
            <a:stretch>
              <a:fillRect/>
            </a:stretch>
          </xdr:blipFill>
          <xdr:spPr bwMode="auto">
            <a:xfrm>
              <a:off x="7709161" y="2365553"/>
              <a:ext cx="4086197" cy="21179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586911</xdr:colOff>
      <xdr:row>6</xdr:row>
      <xdr:rowOff>124052</xdr:rowOff>
    </xdr:from>
    <xdr:to>
      <xdr:col>10</xdr:col>
      <xdr:colOff>610913</xdr:colOff>
      <xdr:row>11</xdr:row>
      <xdr:rowOff>183931</xdr:rowOff>
    </xdr:to>
    <xdr:sp macro="" textlink="">
      <xdr:nvSpPr>
        <xdr:cNvPr id="2" name="TextBox 1">
          <a:extLst>
            <a:ext uri="{FF2B5EF4-FFF2-40B4-BE49-F238E27FC236}">
              <a16:creationId xmlns:a16="http://schemas.microsoft.com/office/drawing/2014/main" id="{BFC613AC-34C8-40A7-8BD5-B74EAC8CC5D7}"/>
            </a:ext>
          </a:extLst>
        </xdr:cNvPr>
        <xdr:cNvSpPr txBox="1"/>
      </xdr:nvSpPr>
      <xdr:spPr>
        <a:xfrm>
          <a:off x="4291808" y="1267052"/>
          <a:ext cx="3341329" cy="1012379"/>
        </a:xfrm>
        <a:prstGeom prst="rect">
          <a:avLst/>
        </a:prstGeom>
        <a:solidFill>
          <a:schemeClr val="accent1">
            <a:lumMod val="20000"/>
            <a:lumOff val="80000"/>
          </a:schemeClr>
        </a:solidFill>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30%-65% of clubs submit requests for $470 worth</a:t>
          </a:r>
          <a:r>
            <a:rPr lang="en-US" sz="1100" baseline="0"/>
            <a:t> of programming funds (limit $2k, $3k).</a:t>
          </a:r>
        </a:p>
        <a:p>
          <a:endParaRPr lang="en-US" sz="1100"/>
        </a:p>
        <a:p>
          <a:r>
            <a:rPr lang="en-US" sz="1100"/>
            <a:t>23%-36% of clubs</a:t>
          </a:r>
          <a:r>
            <a:rPr lang="en-US" sz="1100" baseline="0"/>
            <a:t> submit requests for $118.80 worth of operating funds (limit $200)</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Carrera, Peter T." id="{FB69C11C-E483-4D83-A43B-81026D1F1D87}" userId="Carrera, Peter T." providerId="None"/>
  <person displayName="Crall, Brittany" id="{99169113-F20C-4808-BAE6-745656719FFC}" userId="S::crall.26@osu.edu::63e006a6-e848-497d-aa3c-1570c108085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C3" dT="2022-03-06T18:51:21.19" personId="{FB69C11C-E483-4D83-A43B-81026D1F1D87}" id="{D0B64D12-0E66-4FC8-90F4-37CCC2CB9528}">
    <text>Update to actualy account for salaries</text>
  </threadedComment>
  <threadedComment ref="AL3" dT="2022-03-06T18:51:21.19" personId="{FB69C11C-E483-4D83-A43B-81026D1F1D87}" id="{7B07D79D-8569-4CE5-9073-ECE34C6FCF06}">
    <text>Update to actualy account for salaries</text>
  </threadedComment>
  <threadedComment ref="AC4" dT="2022-03-06T18:51:44.84" personId="{FB69C11C-E483-4D83-A43B-81026D1F1D87}" id="{BD416ACF-ABC1-470B-A282-8448C7F2324C}">
    <text>Update to actually account for current student wages</text>
  </threadedComment>
  <threadedComment ref="AL4" dT="2022-03-06T18:51:44.84" personId="{FB69C11C-E483-4D83-A43B-81026D1F1D87}" id="{36BAB706-29BF-475B-9E7C-8A368E664BD5}">
    <text>Update to actually account for current student wages</text>
  </threadedComment>
  <threadedComment ref="AB11" dT="2022-03-01T16:54:24.50" personId="{FB69C11C-E483-4D83-A43B-81026D1F1D87}" id="{0D421DF7-0D30-4867-A64D-BAD4B395B962}">
    <text>b/t 30k and 0</text>
  </threadedComment>
  <threadedComment ref="AK11" dT="2022-03-01T16:54:24.50" personId="{FB69C11C-E483-4D83-A43B-81026D1F1D87}" id="{D79FB86E-0A1C-400D-AECA-911730AD1EAC}">
    <text>b/t 30k and 0</text>
  </threadedComment>
  <threadedComment ref="AB12" dT="2022-03-08T23:46:38.97" personId="{FB69C11C-E483-4D83-A43B-81026D1F1D87}" id="{BCA8AEBF-E697-4547-BDDD-22064B5D4DE8}">
    <text>Max spend of 387k</text>
  </threadedComment>
  <threadedComment ref="AK12" dT="2022-03-08T23:46:38.97" personId="{FB69C11C-E483-4D83-A43B-81026D1F1D87}" id="{01878DAF-A8D5-4B49-97B3-8D9C21C41EC5}">
    <text>Max spend of 387k</text>
  </threadedComment>
  <threadedComment ref="Y17" dT="2022-01-21T15:18:12.71" personId="{99169113-F20C-4808-BAE6-745656719FFC}" id="{B004592B-5E23-4F9F-BCEC-3BEA89731C76}">
    <text>This number is under review. With the transfer to Workday all CGS funding sources were combined and corrections are needed to divide the grants, officer funding, and SAF funds into seperate budgets</text>
  </threadedComment>
  <threadedComment ref="G34" dT="2022-01-21T15:18:46.05" personId="{99169113-F20C-4808-BAE6-745656719FFC}" id="{6F14D26E-EE02-4D89-9E1F-8E8BDFC13B25}">
    <text>See note in above FY22 section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5" dT="2022-03-01T21:37:55.19" personId="{FB69C11C-E483-4D83-A43B-81026D1F1D87}" id="{76357787-A14E-4804-B838-AF934E0153A8}">
    <text>LY SAF Revenue + LY Fee margin = NY SAF revenue</text>
  </threadedComment>
  <threadedComment ref="I6" dT="2022-03-01T21:40:15.06" personId="{FB69C11C-E483-4D83-A43B-81026D1F1D87}" id="{75A3005D-06F8-4408-81EF-1E3ADEBC56DB}">
    <text>Finalized in Sept</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2-03-28T18:28:45.07" personId="{FB69C11C-E483-4D83-A43B-81026D1F1D87}" id="{1ECDF800-4A01-4152-BFB0-FAD7DB8D0556}">
    <text>Yellow cell means the application and/or budget was submitted late</text>
  </threadedComment>
  <threadedComment ref="M1" dT="2022-03-28T18:11:23.28" personId="{FB69C11C-E483-4D83-A43B-81026D1F1D87}" id="{ED688211-A5C9-449D-A062-9E1F6F57880A}">
    <text>Green cell means it was hosted virtually</text>
  </threadedComment>
  <threadedComment ref="Q1" dT="2022-04-07T21:31:58.54" personId="{FB69C11C-E483-4D83-A43B-81026D1F1D87}" id="{2F3BB0CB-8E4C-43A1-BFDF-36802E3B9C18}">
    <text>Yellow means the event will be funded partially, amount unknown. - means unsure if appropriate to fund.</text>
  </threadedComment>
  <threadedComment ref="E2" dT="2022-04-05T20:08:48.01" personId="{FB69C11C-E483-4D83-A43B-81026D1F1D87}" id="{41E7C9CD-8769-4C8B-8911-324A5341B584}">
    <text>$12.5k Versiti funding. $1k Buckeye blood club contributions.
Past sponsorships: insomnia, noodles, skyline, roosters, tommy's pizza.</text>
  </threadedComment>
  <threadedComment ref="M2" dT="2022-04-05T20:07:50.81" personId="{FB69C11C-E483-4D83-A43B-81026D1F1D87}" id="{BBF376AD-076D-4A3D-958C-4D59F75A7574}">
    <text>These are donation numbers. There are also many more students who actively participate during events during the period of time.
75%</text>
  </threadedComment>
  <threadedComment ref="E3" dT="2022-04-04T22:09:54.44" personId="{FB69C11C-E483-4D83-A43B-81026D1F1D87}" id="{98DA01D8-390D-4B31-B1C5-A448747311A7}">
    <text>Nike donation/ own budget</text>
  </threadedComment>
  <threadedComment ref="L15" dT="2022-03-28T18:10:45.38" personId="{FB69C11C-E483-4D83-A43B-81026D1F1D87}" id="{0E3E3571-6C21-4370-9FB7-11031A3D7AF6}">
    <text>MCEC merged with OUAB and hosted weekend with comedy show, lecture, concert, t-shirt exchange</text>
  </threadedComment>
  <threadedComment ref="M15" dT="2022-03-28T18:10:37.60" personId="{FB69C11C-E483-4D83-A43B-81026D1F1D87}" id="{610E2726-F0BC-46E9-B82D-AE6B19C728EA}">
    <text>hosted virtually with t-shirt exchange &amp; Hot Ones event</text>
  </threadedComment>
  <threadedComment ref="M21" dT="2022-03-28T18:03:24.66" personId="{FB69C11C-E483-4D83-A43B-81026D1F1D87}" id="{A89E3BA3-A301-40B9-A137-496A002D4EDE}">
    <text>Grab and go meals</text>
  </threadedComment>
  <threadedComment ref="M23" dT="2022-03-28T18:06:13.57" personId="{FB69C11C-E483-4D83-A43B-81026D1F1D87}" id="{AB08BF70-2F2F-42F6-B05D-7450297F78CA}">
    <text>Grab and go kits in fall. craft kits in spring. Virtual.</text>
  </threadedComment>
  <threadedComment ref="B26" dT="2022-04-18T00:17:42.59" personId="{FB69C11C-E483-4D83-A43B-81026D1F1D87}" id="{FFC01D7E-1F35-4932-883E-5AC453157E80}">
    <text>The AAHF Homecoming Tailgate was intially part of the AAHF application along with another request. They were then all seperated and considered indidivudally. To allow more flexible spending the applications of and total amount funded to AAHF and AAHF HT have been combined to a single Signature Event application.</text>
  </threadedComment>
  <threadedComment ref="E26" dT="2022-04-07T18:47:42.42" personId="{FB69C11C-E483-4D83-A43B-81026D1F1D87}" id="{EA18236F-AEA6-4A2B-B8C0-4DCBE8123DDE}">
    <text>Previous years: $35k 2020, $55k 2019
Funding sources decreased over time.</text>
  </threadedComment>
  <threadedComment ref="B27" dT="2022-04-18T00:17:56.12" personId="{FB69C11C-E483-4D83-A43B-81026D1F1D87}" id="{85FA03C4-C58A-497A-8531-2B1559E07BBF}">
    <text>See comment on AAHF</text>
  </threadedComment>
  <threadedComment ref="M28" dT="2022-03-28T18:02:56.40" personId="{FB69C11C-E483-4D83-A43B-81026D1F1D87}" id="{1A69BBC8-A957-4A40-AE64-2229920F135F}">
    <text>Grab and go crafts. No homecoming parade</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BCEA9-AE48-4D5C-BDE8-22EA1396C4BA}">
  <dimension ref="A1:AR35"/>
  <sheetViews>
    <sheetView zoomScale="115" zoomScaleNormal="115" workbookViewId="0">
      <pane xSplit="1" topLeftCell="AI1" activePane="topRight" state="frozen"/>
      <selection pane="topRight" activeCell="AM19" sqref="AM19"/>
    </sheetView>
  </sheetViews>
  <sheetFormatPr baseColWidth="10" defaultColWidth="8.83203125" defaultRowHeight="15" x14ac:dyDescent="0.2"/>
  <cols>
    <col min="1" max="1" width="24.5" bestFit="1" customWidth="1"/>
    <col min="2" max="2" width="14.6640625" bestFit="1" customWidth="1"/>
    <col min="3" max="3" width="14.33203125" bestFit="1" customWidth="1"/>
    <col min="4" max="4" width="15.6640625" customWidth="1"/>
    <col min="5" max="5" width="14.6640625" bestFit="1" customWidth="1"/>
    <col min="6" max="7" width="14.83203125" customWidth="1"/>
    <col min="8" max="8" width="14.83203125" bestFit="1" customWidth="1"/>
    <col min="9" max="10" width="14.83203125" customWidth="1"/>
    <col min="11" max="11" width="14.83203125" bestFit="1" customWidth="1"/>
    <col min="12" max="12" width="14.83203125" customWidth="1"/>
    <col min="13" max="13" width="13" customWidth="1"/>
    <col min="14" max="14" width="14.6640625" bestFit="1" customWidth="1"/>
    <col min="15" max="16" width="14.83203125" customWidth="1"/>
    <col min="17" max="17" width="13.83203125" customWidth="1"/>
    <col min="18" max="18" width="14.83203125" bestFit="1" customWidth="1"/>
    <col min="19" max="21" width="14.83203125" customWidth="1"/>
    <col min="22" max="22" width="14.83203125" bestFit="1" customWidth="1"/>
    <col min="23" max="24" width="17" customWidth="1"/>
    <col min="25" max="25" width="16.5" customWidth="1"/>
    <col min="26" max="26" width="10.5" customWidth="1"/>
    <col min="27" max="27" width="16.33203125" customWidth="1"/>
    <col min="28" max="28" width="20.5" customWidth="1"/>
    <col min="29" max="29" width="14.6640625" customWidth="1"/>
    <col min="30" max="30" width="10.83203125" customWidth="1"/>
    <col min="31" max="31" width="14.5" customWidth="1"/>
    <col min="32" max="32" width="5.6640625" customWidth="1"/>
    <col min="33" max="33" width="21.83203125" bestFit="1" customWidth="1"/>
    <col min="34" max="34" width="19.83203125" bestFit="1" customWidth="1"/>
    <col min="35" max="35" width="19.83203125" customWidth="1"/>
    <col min="36" max="36" width="21.83203125" bestFit="1" customWidth="1"/>
    <col min="37" max="37" width="11.83203125" customWidth="1"/>
    <col min="38" max="38" width="15" customWidth="1"/>
    <col min="39" max="39" width="13.1640625" customWidth="1"/>
    <col min="40" max="41" width="11.83203125" customWidth="1"/>
    <col min="42" max="42" width="15.1640625" bestFit="1" customWidth="1"/>
    <col min="43" max="43" width="11.83203125" customWidth="1"/>
    <col min="44" max="44" width="14.5" customWidth="1"/>
  </cols>
  <sheetData>
    <row r="1" spans="1:44" s="28" customFormat="1" ht="65" x14ac:dyDescent="0.25">
      <c r="B1" s="33" t="s">
        <v>0</v>
      </c>
      <c r="C1" s="34" t="s">
        <v>1</v>
      </c>
      <c r="D1" s="35" t="s">
        <v>2</v>
      </c>
      <c r="E1" s="33" t="s">
        <v>3</v>
      </c>
      <c r="F1" s="34" t="s">
        <v>4</v>
      </c>
      <c r="G1" s="34" t="s">
        <v>5</v>
      </c>
      <c r="H1" s="35" t="s">
        <v>6</v>
      </c>
      <c r="I1" s="33" t="s">
        <v>7</v>
      </c>
      <c r="J1" s="34" t="s">
        <v>8</v>
      </c>
      <c r="K1" s="34" t="s">
        <v>9</v>
      </c>
      <c r="L1" s="35" t="s">
        <v>10</v>
      </c>
      <c r="M1" s="33" t="s">
        <v>11</v>
      </c>
      <c r="N1" s="34" t="s">
        <v>12</v>
      </c>
      <c r="O1" s="34" t="s">
        <v>13</v>
      </c>
      <c r="P1" s="35" t="s">
        <v>14</v>
      </c>
      <c r="Q1" s="33" t="s">
        <v>15</v>
      </c>
      <c r="R1" s="34" t="s">
        <v>16</v>
      </c>
      <c r="S1" s="34" t="s">
        <v>17</v>
      </c>
      <c r="T1" s="35" t="s">
        <v>18</v>
      </c>
      <c r="U1" s="33" t="s">
        <v>19</v>
      </c>
      <c r="V1" s="34" t="s">
        <v>20</v>
      </c>
      <c r="W1" s="34" t="s">
        <v>21</v>
      </c>
      <c r="X1" s="35" t="s">
        <v>22</v>
      </c>
      <c r="Y1" s="33" t="s">
        <v>23</v>
      </c>
      <c r="Z1" s="34" t="s">
        <v>24</v>
      </c>
      <c r="AA1" s="34" t="s">
        <v>25</v>
      </c>
      <c r="AB1" s="70" t="s">
        <v>26</v>
      </c>
      <c r="AC1" s="70" t="s">
        <v>25</v>
      </c>
      <c r="AD1" s="70"/>
      <c r="AE1" s="70" t="s">
        <v>27</v>
      </c>
      <c r="AG1" s="188" t="s">
        <v>293</v>
      </c>
      <c r="AH1" s="188"/>
      <c r="AI1"/>
      <c r="AJ1" s="70" t="s">
        <v>463</v>
      </c>
      <c r="AK1" s="70" t="s">
        <v>26</v>
      </c>
      <c r="AL1" s="70" t="s">
        <v>298</v>
      </c>
      <c r="AM1" s="70" t="s">
        <v>296</v>
      </c>
      <c r="AN1" s="70" t="s">
        <v>299</v>
      </c>
      <c r="AO1" s="70" t="s">
        <v>294</v>
      </c>
      <c r="AP1" s="70" t="s">
        <v>409</v>
      </c>
      <c r="AQ1" s="70" t="s">
        <v>292</v>
      </c>
      <c r="AR1" s="70" t="s">
        <v>27</v>
      </c>
    </row>
    <row r="2" spans="1:44" ht="16" x14ac:dyDescent="0.2">
      <c r="A2" s="2" t="s">
        <v>29</v>
      </c>
      <c r="B2" s="36"/>
      <c r="C2" s="3"/>
      <c r="D2" s="51"/>
      <c r="E2" s="36"/>
      <c r="F2" s="3"/>
      <c r="G2" s="3"/>
      <c r="H2" s="51"/>
      <c r="I2" s="36"/>
      <c r="J2" s="3"/>
      <c r="K2" s="3"/>
      <c r="L2" s="51"/>
      <c r="M2" s="36"/>
      <c r="N2" s="3"/>
      <c r="O2" s="3"/>
      <c r="P2" s="51"/>
      <c r="Q2" s="36"/>
      <c r="R2" s="3"/>
      <c r="S2" s="3"/>
      <c r="T2" s="51"/>
      <c r="U2" s="36"/>
      <c r="V2" s="3"/>
      <c r="W2" s="3"/>
      <c r="X2" s="51"/>
      <c r="Y2" s="36"/>
      <c r="Z2" s="3"/>
      <c r="AA2" s="3"/>
      <c r="AB2" s="25"/>
      <c r="AC2" s="25"/>
      <c r="AD2" s="25"/>
      <c r="AE2" s="25"/>
      <c r="AG2" s="25" t="s">
        <v>29</v>
      </c>
      <c r="AH2" s="25" t="s">
        <v>30</v>
      </c>
      <c r="AJ2" s="2" t="s">
        <v>29</v>
      </c>
      <c r="AK2" s="25"/>
      <c r="AL2" s="25"/>
      <c r="AM2" s="25"/>
      <c r="AN2" s="25"/>
      <c r="AO2" s="82"/>
      <c r="AP2" s="82"/>
      <c r="AQ2" s="25"/>
      <c r="AR2" s="25"/>
    </row>
    <row r="3" spans="1:44" ht="16" x14ac:dyDescent="0.2">
      <c r="A3" s="5" t="s">
        <v>31</v>
      </c>
      <c r="B3" s="37">
        <v>106166.52</v>
      </c>
      <c r="C3" s="16">
        <v>475000</v>
      </c>
      <c r="D3" s="38">
        <f>B3+C3-E3</f>
        <v>479138.59</v>
      </c>
      <c r="E3" s="46">
        <v>102027.93</v>
      </c>
      <c r="F3" s="16">
        <v>0</v>
      </c>
      <c r="G3" s="16">
        <v>475000</v>
      </c>
      <c r="H3" s="38">
        <f>E3-F3+G3-I3</f>
        <v>462938.0199999999</v>
      </c>
      <c r="I3" s="46">
        <v>114089.91</v>
      </c>
      <c r="J3" s="16">
        <v>0</v>
      </c>
      <c r="K3" s="16">
        <v>475000</v>
      </c>
      <c r="L3" s="38">
        <f>I3-J3+K3-M3</f>
        <v>539025.53</v>
      </c>
      <c r="M3" s="46">
        <v>50064.38</v>
      </c>
      <c r="N3" s="16">
        <v>0</v>
      </c>
      <c r="O3" s="16">
        <v>545000</v>
      </c>
      <c r="P3" s="38">
        <f>M3-N3+O3-Q3</f>
        <v>466973.92</v>
      </c>
      <c r="Q3" s="46">
        <v>128090.46</v>
      </c>
      <c r="R3" s="16">
        <v>0</v>
      </c>
      <c r="S3" s="16">
        <v>545000</v>
      </c>
      <c r="T3" s="38">
        <f>Q3-R3+S3-U3</f>
        <v>496766.53999999992</v>
      </c>
      <c r="U3" s="46">
        <v>176323.92</v>
      </c>
      <c r="V3" s="16">
        <v>0</v>
      </c>
      <c r="W3" s="16">
        <v>545000</v>
      </c>
      <c r="X3" s="38">
        <f>U3-V3+W3-Y3</f>
        <v>489559.03</v>
      </c>
      <c r="Y3" s="46">
        <v>231764.89</v>
      </c>
      <c r="Z3" s="16">
        <v>0</v>
      </c>
      <c r="AA3" s="16">
        <v>545000</v>
      </c>
      <c r="AB3" s="73">
        <f>Y3</f>
        <v>231764.89</v>
      </c>
      <c r="AC3" s="71">
        <f>593986</f>
        <v>593986</v>
      </c>
      <c r="AD3" s="114"/>
      <c r="AE3" s="71">
        <f>SUM(AB3:AC3)</f>
        <v>825750.89</v>
      </c>
      <c r="AG3" s="58" t="str">
        <f>A3</f>
        <v>Staffing</v>
      </c>
      <c r="AH3" s="62">
        <f>(L3+P3)/2</f>
        <v>502999.72499999998</v>
      </c>
      <c r="AJ3" s="5" t="s">
        <v>31</v>
      </c>
      <c r="AK3" s="128">
        <v>231764.89</v>
      </c>
      <c r="AL3" s="129">
        <v>593986</v>
      </c>
      <c r="AM3" s="123">
        <f>'Targeted Beneficiary Funding'!A88</f>
        <v>130000</v>
      </c>
      <c r="AN3" s="123">
        <f>SUM(AL3:AM3)</f>
        <v>723986</v>
      </c>
      <c r="AO3" s="130">
        <f>AN3/$AM$21</f>
        <v>0.15387041522649461</v>
      </c>
      <c r="AP3" s="151">
        <v>0</v>
      </c>
      <c r="AQ3" s="123">
        <f>AN3</f>
        <v>723986</v>
      </c>
      <c r="AR3" s="129">
        <f>SUM(AK3:AM3)</f>
        <v>955750.89</v>
      </c>
    </row>
    <row r="4" spans="1:44" ht="16" x14ac:dyDescent="0.2">
      <c r="A4" s="5" t="s">
        <v>32</v>
      </c>
      <c r="B4" s="37">
        <v>16794.13</v>
      </c>
      <c r="C4" s="16">
        <v>131000</v>
      </c>
      <c r="D4" s="38">
        <f>B4+C4-E4</f>
        <v>138774.42000000001</v>
      </c>
      <c r="E4" s="46">
        <v>9019.7099999999991</v>
      </c>
      <c r="F4" s="16">
        <v>0</v>
      </c>
      <c r="G4" s="16">
        <v>120000</v>
      </c>
      <c r="H4" s="38">
        <f t="shared" ref="H4:H6" si="0">E4-F4+G4-I4</f>
        <v>118449.81</v>
      </c>
      <c r="I4" s="46">
        <v>10569.9</v>
      </c>
      <c r="J4" s="16">
        <v>0</v>
      </c>
      <c r="K4" s="16">
        <v>120000</v>
      </c>
      <c r="L4" s="38">
        <f t="shared" ref="L4:L18" si="1">I4-J4+K4-M4</f>
        <v>121547.44</v>
      </c>
      <c r="M4" s="46">
        <v>9022.4599999999991</v>
      </c>
      <c r="N4" s="16">
        <v>0</v>
      </c>
      <c r="O4" s="16">
        <v>155000</v>
      </c>
      <c r="P4" s="38">
        <f t="shared" ref="P4:P18" si="2">M4-N4+O4-Q4</f>
        <v>152134.93</v>
      </c>
      <c r="Q4" s="46">
        <v>11887.53</v>
      </c>
      <c r="R4" s="16">
        <v>0</v>
      </c>
      <c r="S4" s="16">
        <v>155000</v>
      </c>
      <c r="T4" s="38">
        <f t="shared" ref="T4:T18" si="3">Q4-R4+S4-U4</f>
        <v>105265.39</v>
      </c>
      <c r="U4" s="46">
        <v>61622.14</v>
      </c>
      <c r="V4" s="16">
        <v>0</v>
      </c>
      <c r="W4" s="16">
        <v>155000</v>
      </c>
      <c r="X4" s="38">
        <f t="shared" ref="X4:X18" si="4">U4-V4+W4-Y4</f>
        <v>65112.120000000024</v>
      </c>
      <c r="Y4" s="46">
        <v>151510.01999999999</v>
      </c>
      <c r="Z4" s="16">
        <v>0</v>
      </c>
      <c r="AA4" s="16">
        <v>155000</v>
      </c>
      <c r="AB4" s="73">
        <f>AA4+Y4+-163700+15000</f>
        <v>157810.02000000002</v>
      </c>
      <c r="AC4" s="71">
        <f>155000+38000</f>
        <v>193000</v>
      </c>
      <c r="AD4" s="115"/>
      <c r="AE4" s="71">
        <f>SUM(AB4:AC4)</f>
        <v>350810.02</v>
      </c>
      <c r="AG4" s="58" t="str">
        <f t="shared" ref="AG4:AG7" si="5">A4</f>
        <v>Resource Room</v>
      </c>
      <c r="AH4" s="62">
        <f t="shared" ref="AH4:AH7" si="6">(L4+P4)/2</f>
        <v>136841.185</v>
      </c>
      <c r="AJ4" s="5" t="s">
        <v>32</v>
      </c>
      <c r="AK4" s="128">
        <v>157810.02000000002</v>
      </c>
      <c r="AL4" s="129">
        <v>193000</v>
      </c>
      <c r="AM4" s="129">
        <f>'Targeted Beneficiary Funding'!A46</f>
        <v>116223.73112</v>
      </c>
      <c r="AN4" s="123">
        <f t="shared" ref="AN4:AN5" si="7">SUM(AL4:AM4)</f>
        <v>309223.73112000001</v>
      </c>
      <c r="AO4" s="130">
        <f t="shared" ref="AO4:AO6" si="8">AN4/$AM$21</f>
        <v>6.5720033129536101E-2</v>
      </c>
      <c r="AP4" s="151">
        <v>0</v>
      </c>
      <c r="AQ4" s="123">
        <f>AN4</f>
        <v>309223.73112000001</v>
      </c>
      <c r="AR4" s="129">
        <f>SUM(AK4:AM4)</f>
        <v>467033.75112000003</v>
      </c>
    </row>
    <row r="5" spans="1:44" ht="16" x14ac:dyDescent="0.2">
      <c r="A5" s="5" t="s">
        <v>33</v>
      </c>
      <c r="B5" s="39">
        <f>17957.3+0</f>
        <v>17957.3</v>
      </c>
      <c r="C5" s="16">
        <v>75000</v>
      </c>
      <c r="D5" s="38">
        <f t="shared" ref="D5:D18" si="9">B5+C5-E5</f>
        <v>81563.41</v>
      </c>
      <c r="E5" s="46">
        <v>11393.89</v>
      </c>
      <c r="F5" s="16">
        <v>3892.9500000000007</v>
      </c>
      <c r="G5" s="16">
        <v>75000</v>
      </c>
      <c r="H5" s="38">
        <f t="shared" si="0"/>
        <v>77469.48</v>
      </c>
      <c r="I5" s="46">
        <v>5031.46</v>
      </c>
      <c r="J5" s="16">
        <v>0</v>
      </c>
      <c r="K5" s="16">
        <v>75000</v>
      </c>
      <c r="L5" s="38">
        <f t="shared" si="1"/>
        <v>68136.400000000009</v>
      </c>
      <c r="M5" s="46">
        <v>11895.06</v>
      </c>
      <c r="N5" s="16">
        <v>0</v>
      </c>
      <c r="O5" s="16">
        <v>75000</v>
      </c>
      <c r="P5" s="38">
        <f t="shared" si="2"/>
        <v>64721.599999999999</v>
      </c>
      <c r="Q5" s="46">
        <f>14595.08+7578.38</f>
        <v>22173.46</v>
      </c>
      <c r="R5" s="16">
        <v>9873.4599999999991</v>
      </c>
      <c r="S5" s="16">
        <v>75000</v>
      </c>
      <c r="T5" s="38">
        <f t="shared" si="3"/>
        <v>52856.490000000005</v>
      </c>
      <c r="U5" s="46">
        <f>14883.84+19559.67</f>
        <v>34443.509999999995</v>
      </c>
      <c r="V5" s="16">
        <v>0</v>
      </c>
      <c r="W5" s="16">
        <v>75000</v>
      </c>
      <c r="X5" s="38">
        <f t="shared" si="4"/>
        <v>13999.199999999997</v>
      </c>
      <c r="Y5" s="46">
        <v>95444.31</v>
      </c>
      <c r="Z5" s="16">
        <v>0</v>
      </c>
      <c r="AA5" s="16">
        <v>75000</v>
      </c>
      <c r="AB5" s="73">
        <f>50945.06+95444.31</f>
        <v>146389.37</v>
      </c>
      <c r="AC5" s="71">
        <v>75000</v>
      </c>
      <c r="AD5" s="115"/>
      <c r="AE5" s="71">
        <f t="shared" ref="AE5" si="10">SUM(AB5:AC5)</f>
        <v>221389.37</v>
      </c>
      <c r="AG5" s="58" t="str">
        <f t="shared" si="5"/>
        <v>Graphics/Video</v>
      </c>
      <c r="AH5" s="62">
        <f t="shared" si="6"/>
        <v>66429</v>
      </c>
      <c r="AJ5" s="5" t="s">
        <v>33</v>
      </c>
      <c r="AK5" s="128">
        <v>146389.37</v>
      </c>
      <c r="AL5" s="129">
        <v>75000</v>
      </c>
      <c r="AM5" s="129">
        <f>'Targeted Beneficiary Funding'!A56</f>
        <v>18957.678600000003</v>
      </c>
      <c r="AN5" s="123">
        <f t="shared" si="7"/>
        <v>93957.678599999999</v>
      </c>
      <c r="AO5" s="130">
        <f t="shared" si="8"/>
        <v>1.99690422465345E-2</v>
      </c>
      <c r="AP5" s="151">
        <v>0</v>
      </c>
      <c r="AQ5" s="123">
        <f>AN5</f>
        <v>93957.678599999999</v>
      </c>
      <c r="AR5" s="129">
        <f>SUM(AK5:AM5)</f>
        <v>240347.04860000001</v>
      </c>
    </row>
    <row r="6" spans="1:44" ht="16" x14ac:dyDescent="0.2">
      <c r="A6" s="5" t="s">
        <v>34</v>
      </c>
      <c r="B6" s="39">
        <v>0</v>
      </c>
      <c r="C6" s="16">
        <v>0</v>
      </c>
      <c r="D6" s="38">
        <f t="shared" si="9"/>
        <v>0</v>
      </c>
      <c r="E6" s="46">
        <v>0</v>
      </c>
      <c r="F6" s="16">
        <v>0</v>
      </c>
      <c r="G6" s="16">
        <v>0</v>
      </c>
      <c r="H6" s="38">
        <f t="shared" si="0"/>
        <v>0</v>
      </c>
      <c r="I6" s="46">
        <v>0</v>
      </c>
      <c r="J6" s="16">
        <v>0</v>
      </c>
      <c r="K6" s="16">
        <v>0</v>
      </c>
      <c r="L6" s="38">
        <v>0</v>
      </c>
      <c r="M6" s="46">
        <v>50556.28</v>
      </c>
      <c r="N6" s="16">
        <v>38123.160000000003</v>
      </c>
      <c r="O6" s="16">
        <v>255000</v>
      </c>
      <c r="P6" s="38">
        <f t="shared" si="2"/>
        <v>246785</v>
      </c>
      <c r="Q6" s="46">
        <v>20648.12</v>
      </c>
      <c r="R6" s="16">
        <v>0</v>
      </c>
      <c r="S6" s="16">
        <v>255000</v>
      </c>
      <c r="T6" s="38">
        <f t="shared" si="3"/>
        <v>217770.2</v>
      </c>
      <c r="U6" s="46">
        <v>57877.919999999998</v>
      </c>
      <c r="V6" s="16">
        <v>0</v>
      </c>
      <c r="W6" s="16">
        <v>255000</v>
      </c>
      <c r="X6" s="38">
        <f t="shared" si="4"/>
        <v>131315.63999999998</v>
      </c>
      <c r="Y6" s="46">
        <v>181562.28</v>
      </c>
      <c r="Z6" s="16">
        <v>0</v>
      </c>
      <c r="AA6" s="16">
        <v>255000</v>
      </c>
      <c r="AB6" s="73">
        <f>Y6+AA6-SUM('SE 2018-2022'!B27:B29)</f>
        <v>214462.28000000003</v>
      </c>
      <c r="AC6" s="71">
        <f>255000+1711.9</f>
        <v>256711.9</v>
      </c>
      <c r="AD6" s="115"/>
      <c r="AE6" s="71">
        <f>SUM(AB6:AC6)</f>
        <v>471174.18000000005</v>
      </c>
      <c r="AG6" s="58" t="str">
        <f t="shared" si="5"/>
        <v>Signature Events</v>
      </c>
      <c r="AH6" s="62">
        <f>(L13+P6)/2</f>
        <v>220701.604375</v>
      </c>
      <c r="AJ6" s="5" t="s">
        <v>34</v>
      </c>
      <c r="AK6" s="129">
        <v>214462.28000000003</v>
      </c>
      <c r="AL6" s="71">
        <f>255000+1711.9</f>
        <v>256711.9</v>
      </c>
      <c r="AM6" s="129">
        <v>0</v>
      </c>
      <c r="AN6" s="123">
        <f>SUM(AL6:AM6)</f>
        <v>256711.9</v>
      </c>
      <c r="AO6" s="130">
        <f t="shared" si="8"/>
        <v>5.4559572487012681E-2</v>
      </c>
      <c r="AP6" s="151">
        <v>0</v>
      </c>
      <c r="AQ6" s="123">
        <f>AN6+1/3*AK6</f>
        <v>328199.32666666666</v>
      </c>
      <c r="AR6" s="129">
        <f>SUM(AK6:AM6)</f>
        <v>471174.18000000005</v>
      </c>
    </row>
    <row r="7" spans="1:44" ht="17" thickBot="1" x14ac:dyDescent="0.25">
      <c r="A7" s="24" t="s">
        <v>35</v>
      </c>
      <c r="B7" s="40">
        <f>SUM(B3:B6)</f>
        <v>140917.95000000001</v>
      </c>
      <c r="C7" s="22">
        <f>SUM(C3:C6)</f>
        <v>681000</v>
      </c>
      <c r="D7" s="41">
        <f>SUM(D3:D6)</f>
        <v>699476.42</v>
      </c>
      <c r="E7" s="40">
        <f t="shared" ref="E7:Z7" si="11">SUM(E3:E6)</f>
        <v>122441.52999999998</v>
      </c>
      <c r="F7" s="22">
        <f t="shared" si="11"/>
        <v>3892.9500000000007</v>
      </c>
      <c r="G7" s="22">
        <f t="shared" si="11"/>
        <v>670000</v>
      </c>
      <c r="H7" s="41">
        <f t="shared" si="11"/>
        <v>658857.30999999982</v>
      </c>
      <c r="I7" s="40">
        <f t="shared" si="11"/>
        <v>129691.27</v>
      </c>
      <c r="J7" s="22">
        <f t="shared" si="11"/>
        <v>0</v>
      </c>
      <c r="K7" s="22">
        <f t="shared" si="11"/>
        <v>670000</v>
      </c>
      <c r="L7" s="41">
        <f t="shared" si="11"/>
        <v>728709.37</v>
      </c>
      <c r="M7" s="40">
        <f>SUM(M3:M6)</f>
        <v>121538.18</v>
      </c>
      <c r="N7" s="22">
        <f t="shared" si="11"/>
        <v>38123.160000000003</v>
      </c>
      <c r="O7" s="22">
        <f t="shared" si="11"/>
        <v>1030000</v>
      </c>
      <c r="P7" s="41">
        <f t="shared" ref="P7" si="12">SUM(P3:P6)</f>
        <v>930615.45</v>
      </c>
      <c r="Q7" s="40">
        <f t="shared" si="11"/>
        <v>182799.57</v>
      </c>
      <c r="R7" s="22">
        <f t="shared" si="11"/>
        <v>9873.4599999999991</v>
      </c>
      <c r="S7" s="22">
        <f t="shared" si="11"/>
        <v>1030000</v>
      </c>
      <c r="T7" s="41">
        <f t="shared" ref="T7" si="13">SUM(T3:T6)</f>
        <v>872658.61999999988</v>
      </c>
      <c r="U7" s="40">
        <f t="shared" si="11"/>
        <v>330267.49</v>
      </c>
      <c r="V7" s="22">
        <f t="shared" si="11"/>
        <v>0</v>
      </c>
      <c r="W7" s="22">
        <f t="shared" si="11"/>
        <v>1030000</v>
      </c>
      <c r="X7" s="41">
        <f t="shared" ref="X7" si="14">SUM(X3:X6)</f>
        <v>699985.99</v>
      </c>
      <c r="Y7" s="40">
        <f t="shared" si="11"/>
        <v>660281.5</v>
      </c>
      <c r="Z7" s="22">
        <f t="shared" si="11"/>
        <v>0</v>
      </c>
      <c r="AA7" s="22">
        <f>SUM(AA3:AA6)</f>
        <v>1030000</v>
      </c>
      <c r="AB7" s="71">
        <f t="shared" ref="AB7" si="15">SUM(AB3:AB6)</f>
        <v>750426.56</v>
      </c>
      <c r="AC7" s="71">
        <f>SUM(AC3:AC6)</f>
        <v>1118697.8999999999</v>
      </c>
      <c r="AD7" s="116"/>
      <c r="AE7" s="71">
        <f>SUM(AE3:AE6)</f>
        <v>1869124.4600000004</v>
      </c>
      <c r="AG7" s="58" t="str">
        <f t="shared" si="5"/>
        <v>Total Fixed</v>
      </c>
      <c r="AH7" s="62">
        <f t="shared" si="6"/>
        <v>829662.40999999992</v>
      </c>
      <c r="AJ7" s="24" t="s">
        <v>35</v>
      </c>
      <c r="AK7" s="126">
        <v>750426.56</v>
      </c>
      <c r="AL7" s="126">
        <f>SUM(AL3:AL6)</f>
        <v>1118697.8999999999</v>
      </c>
      <c r="AM7" s="126">
        <f>SUM(AM3:AM6)</f>
        <v>265181.40972</v>
      </c>
      <c r="AN7" s="126">
        <f>SUM(AL7:AM7)</f>
        <v>1383879.3097199998</v>
      </c>
      <c r="AO7" s="131">
        <f>AN7/$AM$21</f>
        <v>0.29411906308957786</v>
      </c>
      <c r="AP7" s="131">
        <v>0</v>
      </c>
      <c r="AQ7" s="126">
        <f>SUM(AM7:AN7)</f>
        <v>1649060.7194399997</v>
      </c>
      <c r="AR7" s="126">
        <f>SUM(AK7:AM7)</f>
        <v>2134305.8697199998</v>
      </c>
    </row>
    <row r="8" spans="1:44" ht="17" thickTop="1" x14ac:dyDescent="0.2">
      <c r="A8" s="5"/>
      <c r="B8" s="39"/>
      <c r="C8" s="12"/>
      <c r="D8" s="42"/>
      <c r="E8" s="39"/>
      <c r="F8" s="12"/>
      <c r="G8" s="107"/>
      <c r="H8" s="42"/>
      <c r="I8" s="39"/>
      <c r="J8" s="12"/>
      <c r="K8" s="12"/>
      <c r="L8" s="42"/>
      <c r="M8" s="39"/>
      <c r="N8" s="12"/>
      <c r="O8" s="12"/>
      <c r="P8" s="42"/>
      <c r="Q8" s="39"/>
      <c r="R8" s="12"/>
      <c r="S8" s="12"/>
      <c r="T8" s="42"/>
      <c r="U8" s="39"/>
      <c r="V8" s="12"/>
      <c r="W8" s="12"/>
      <c r="X8" s="42"/>
      <c r="Y8" s="39"/>
      <c r="Z8" s="12"/>
      <c r="AA8" s="12"/>
      <c r="AB8" s="71"/>
      <c r="AC8" s="71"/>
      <c r="AD8" s="71"/>
      <c r="AE8" s="71"/>
      <c r="AJ8" s="5"/>
      <c r="AK8" s="132"/>
      <c r="AL8" s="132"/>
      <c r="AM8" s="132"/>
      <c r="AN8" s="132"/>
      <c r="AO8" s="133"/>
      <c r="AP8" s="133"/>
      <c r="AQ8" s="132"/>
      <c r="AR8" s="132"/>
    </row>
    <row r="9" spans="1:44" ht="34" x14ac:dyDescent="0.2">
      <c r="A9" s="2" t="s">
        <v>36</v>
      </c>
      <c r="B9" s="36"/>
      <c r="C9" s="3"/>
      <c r="D9" s="51"/>
      <c r="E9" s="36"/>
      <c r="F9" s="3"/>
      <c r="G9" s="3"/>
      <c r="H9" s="51"/>
      <c r="I9" s="36"/>
      <c r="J9" s="3"/>
      <c r="K9" s="3"/>
      <c r="L9" s="51"/>
      <c r="M9" s="36"/>
      <c r="N9" s="3"/>
      <c r="O9" s="3"/>
      <c r="P9" s="51"/>
      <c r="Q9" s="36"/>
      <c r="R9" s="3"/>
      <c r="S9" s="3"/>
      <c r="T9" s="51"/>
      <c r="U9" s="36"/>
      <c r="V9" s="3"/>
      <c r="W9" s="3"/>
      <c r="X9" s="51"/>
      <c r="Y9" s="36"/>
      <c r="Z9" s="3"/>
      <c r="AA9" s="3"/>
      <c r="AB9" s="72"/>
      <c r="AC9" s="72"/>
      <c r="AD9" s="82" t="s">
        <v>37</v>
      </c>
      <c r="AE9" s="72"/>
      <c r="AG9" s="2" t="s">
        <v>36</v>
      </c>
      <c r="AH9" s="2" t="s">
        <v>30</v>
      </c>
      <c r="AJ9" s="2" t="s">
        <v>36</v>
      </c>
      <c r="AK9" s="72"/>
      <c r="AL9" s="72"/>
      <c r="AM9" s="72"/>
      <c r="AN9" s="72"/>
      <c r="AO9" s="125"/>
      <c r="AP9" s="160" t="s">
        <v>409</v>
      </c>
      <c r="AQ9" s="72"/>
      <c r="AR9" s="72"/>
    </row>
    <row r="10" spans="1:44" ht="16" x14ac:dyDescent="0.2">
      <c r="A10" s="5" t="s">
        <v>38</v>
      </c>
      <c r="B10" s="37">
        <v>388480.46</v>
      </c>
      <c r="C10" s="13">
        <v>1882279.15625</v>
      </c>
      <c r="D10" s="38">
        <f t="shared" si="9"/>
        <v>2152954.3162500001</v>
      </c>
      <c r="E10" s="47">
        <v>117805.3</v>
      </c>
      <c r="F10" s="13">
        <v>0</v>
      </c>
      <c r="G10" s="13">
        <v>1941748.24</v>
      </c>
      <c r="H10" s="38">
        <f>E10-F10+G10-I10</f>
        <v>1987348.4100000001</v>
      </c>
      <c r="I10" s="47">
        <v>72205.13</v>
      </c>
      <c r="J10" s="13">
        <v>0</v>
      </c>
      <c r="K10" s="13">
        <v>1937850.89925</v>
      </c>
      <c r="L10" s="38">
        <f t="shared" si="1"/>
        <v>1912760.3492500002</v>
      </c>
      <c r="M10" s="47">
        <v>97295.679999999993</v>
      </c>
      <c r="N10" s="13">
        <v>0</v>
      </c>
      <c r="O10" s="13">
        <v>1912817.81</v>
      </c>
      <c r="P10" s="38">
        <f t="shared" si="2"/>
        <v>1812523.45</v>
      </c>
      <c r="Q10" s="47">
        <v>197590.04</v>
      </c>
      <c r="R10" s="13">
        <v>0</v>
      </c>
      <c r="S10" s="13">
        <v>1976591.8</v>
      </c>
      <c r="T10" s="38">
        <f t="shared" si="3"/>
        <v>1413905.4</v>
      </c>
      <c r="U10" s="47">
        <v>760276.44</v>
      </c>
      <c r="V10" s="16">
        <v>0</v>
      </c>
      <c r="W10" s="16">
        <v>1790215.6423500001</v>
      </c>
      <c r="X10" s="38">
        <f>U10-V10+W10-Y10</f>
        <v>1394941.6323499999</v>
      </c>
      <c r="Y10" s="46">
        <v>1155550.45</v>
      </c>
      <c r="Z10" s="16">
        <v>0</v>
      </c>
      <c r="AA10" s="16">
        <v>1265668.6126000001</v>
      </c>
      <c r="AB10" s="71">
        <v>405000</v>
      </c>
      <c r="AC10" s="71">
        <f>AH10-0.33*AB10</f>
        <v>1728991.8996250001</v>
      </c>
      <c r="AD10" s="81">
        <f>AC10/SUM($AE$22)</f>
        <v>0.41822913554816293</v>
      </c>
      <c r="AE10" s="71">
        <f t="shared" ref="AE10:AE18" si="16">SUM(AB10:AC10)</f>
        <v>2133991.8996250001</v>
      </c>
      <c r="AF10" s="64"/>
      <c r="AG10" s="27" t="s">
        <v>38</v>
      </c>
      <c r="AH10" s="62">
        <f>(L10+P10)/2</f>
        <v>1862641.8996250001</v>
      </c>
      <c r="AJ10" s="5" t="s">
        <v>38</v>
      </c>
      <c r="AK10" s="129">
        <v>405000</v>
      </c>
      <c r="AL10" s="129">
        <v>1728991.8996250001</v>
      </c>
      <c r="AM10" s="129">
        <f>'Targeted Beneficiary Funding'!A83+'Targeted Beneficiary Funding'!C3</f>
        <v>78853.145582027704</v>
      </c>
      <c r="AN10" s="123">
        <f t="shared" ref="AN10:AN12" si="17">SUM(AL10:AM10)</f>
        <v>1807845.0452070278</v>
      </c>
      <c r="AO10" s="130">
        <f t="shared" ref="AO10:AO18" si="18">AN10/$AM$21</f>
        <v>0.38422547918214761</v>
      </c>
      <c r="AP10" s="161">
        <f>AN10/$AN$19</f>
        <v>0.54432052077205573</v>
      </c>
      <c r="AQ10" s="123">
        <f>AN10+1/3*AK10</f>
        <v>1942845.0452070278</v>
      </c>
      <c r="AR10" s="129">
        <f>SUM(AK10:AM10)</f>
        <v>2212845.0452070278</v>
      </c>
    </row>
    <row r="11" spans="1:44" ht="16" x14ac:dyDescent="0.2">
      <c r="A11" s="5" t="s">
        <v>39</v>
      </c>
      <c r="B11" s="39">
        <v>0</v>
      </c>
      <c r="C11" s="13">
        <v>496482.44</v>
      </c>
      <c r="D11" s="38">
        <f t="shared" si="9"/>
        <v>421079.73</v>
      </c>
      <c r="E11" s="47">
        <v>75402.710000000006</v>
      </c>
      <c r="F11" s="13">
        <v>0</v>
      </c>
      <c r="G11" s="13">
        <v>526161.05000000005</v>
      </c>
      <c r="H11" s="38">
        <f t="shared" ref="H11:H18" si="19">E11-F11+G11-I11</f>
        <v>601563.76</v>
      </c>
      <c r="I11" s="47">
        <v>0</v>
      </c>
      <c r="J11" s="13">
        <v>0</v>
      </c>
      <c r="K11" s="13">
        <v>497867.27550000005</v>
      </c>
      <c r="L11" s="38">
        <f t="shared" si="1"/>
        <v>497867.27550000005</v>
      </c>
      <c r="M11" s="47">
        <v>0</v>
      </c>
      <c r="N11" s="13">
        <v>0</v>
      </c>
      <c r="O11" s="13">
        <v>489004.33</v>
      </c>
      <c r="P11" s="38">
        <f t="shared" si="2"/>
        <v>489004.33</v>
      </c>
      <c r="Q11" s="47">
        <v>0</v>
      </c>
      <c r="R11" s="13">
        <v>0</v>
      </c>
      <c r="S11" s="13">
        <v>505307.9</v>
      </c>
      <c r="T11" s="38">
        <f t="shared" si="3"/>
        <v>502692.9</v>
      </c>
      <c r="U11" s="47">
        <v>2615</v>
      </c>
      <c r="V11" s="16">
        <v>0</v>
      </c>
      <c r="W11" s="16">
        <v>457661.570175</v>
      </c>
      <c r="X11" s="38">
        <f t="shared" si="4"/>
        <v>142541.15017500002</v>
      </c>
      <c r="Y11" s="46">
        <v>317735.42</v>
      </c>
      <c r="Z11" s="16">
        <v>0</v>
      </c>
      <c r="AA11" s="16">
        <v>323563.19030000002</v>
      </c>
      <c r="AB11" s="71">
        <v>30000</v>
      </c>
      <c r="AC11" s="71">
        <v>493435.80274999997</v>
      </c>
      <c r="AD11" s="81">
        <f>AC11/SUM($AE$22)</f>
        <v>0.11935812381619927</v>
      </c>
      <c r="AE11" s="71">
        <f t="shared" si="16"/>
        <v>523435.80274999997</v>
      </c>
      <c r="AF11" s="64"/>
      <c r="AG11" s="27" t="s">
        <v>39</v>
      </c>
      <c r="AH11" s="62">
        <f t="shared" ref="AH11:AH18" si="20">(L11+P11)/2</f>
        <v>493435.80275000003</v>
      </c>
      <c r="AJ11" s="5" t="s">
        <v>39</v>
      </c>
      <c r="AK11" s="129">
        <v>30000</v>
      </c>
      <c r="AL11" s="129">
        <v>493435.80274999997</v>
      </c>
      <c r="AM11" s="129">
        <f>'Targeted Beneficiary Funding'!A28</f>
        <v>35045.25938830596</v>
      </c>
      <c r="AN11" s="123">
        <f t="shared" si="17"/>
        <v>528481.06213830598</v>
      </c>
      <c r="AO11" s="130">
        <f t="shared" si="18"/>
        <v>0.11231929964192684</v>
      </c>
      <c r="AP11" s="161">
        <f t="shared" ref="AP11:AP18" si="21">AN11/$AN$19</f>
        <v>0.15911932702636564</v>
      </c>
      <c r="AQ11" s="123">
        <f>AN11+1/3*AK11</f>
        <v>538481.06213830598</v>
      </c>
      <c r="AR11" s="129">
        <f>SUM(AK11:AM11)</f>
        <v>558481.06213830598</v>
      </c>
    </row>
    <row r="12" spans="1:44" ht="16" x14ac:dyDescent="0.2">
      <c r="A12" s="5" t="s">
        <v>40</v>
      </c>
      <c r="B12" s="39">
        <v>0</v>
      </c>
      <c r="C12" s="13">
        <v>559440.16</v>
      </c>
      <c r="D12" s="38">
        <f t="shared" si="9"/>
        <v>559440.16</v>
      </c>
      <c r="E12" s="47">
        <v>0</v>
      </c>
      <c r="F12" s="13">
        <v>0</v>
      </c>
      <c r="G12" s="13">
        <v>647115.14999999991</v>
      </c>
      <c r="H12" s="38">
        <f t="shared" si="19"/>
        <v>647115.14999999991</v>
      </c>
      <c r="I12" s="47">
        <v>0</v>
      </c>
      <c r="J12" s="13">
        <v>0</v>
      </c>
      <c r="K12" s="13">
        <v>466923.62325</v>
      </c>
      <c r="L12" s="38">
        <f t="shared" si="1"/>
        <v>251374.47325000001</v>
      </c>
      <c r="M12" s="47">
        <v>215549.15</v>
      </c>
      <c r="N12" s="13">
        <v>125328.32799999999</v>
      </c>
      <c r="O12" s="13">
        <f>495732.13+100000</f>
        <v>595732.13</v>
      </c>
      <c r="P12" s="38">
        <f>M12-N12+O12-Q12</f>
        <v>465131.36200000008</v>
      </c>
      <c r="Q12" s="47">
        <v>220821.59</v>
      </c>
      <c r="R12" s="13">
        <v>112785.30699999997</v>
      </c>
      <c r="S12" s="13">
        <v>512260.00000000006</v>
      </c>
      <c r="T12" s="38">
        <f>Q12-R12+S12-U12</f>
        <v>297802.18300000008</v>
      </c>
      <c r="U12" s="47">
        <v>322494.09999999998</v>
      </c>
      <c r="V12" s="16">
        <v>0</v>
      </c>
      <c r="W12" s="16">
        <v>463958.14500000002</v>
      </c>
      <c r="X12" s="38">
        <f>U12-V12+W12-Y12</f>
        <v>157051.01500000001</v>
      </c>
      <c r="Y12" s="46">
        <v>629401.23</v>
      </c>
      <c r="Z12" s="16">
        <v>0</v>
      </c>
      <c r="AA12" s="16">
        <v>328014.82</v>
      </c>
      <c r="AB12" s="71">
        <v>570416.05000000005</v>
      </c>
      <c r="AC12" s="71">
        <f>'Student Org Allocations'!C21</f>
        <v>310686.17036666669</v>
      </c>
      <c r="AD12" s="81">
        <f>AC12/SUM($AE$22)</f>
        <v>7.5152468029146033E-2</v>
      </c>
      <c r="AE12" s="71">
        <f t="shared" si="16"/>
        <v>881102.22036666679</v>
      </c>
      <c r="AF12" s="64"/>
      <c r="AG12" s="27" t="s">
        <v>40</v>
      </c>
      <c r="AH12" s="62">
        <f>(L12+P12)/2</f>
        <v>358252.91762500006</v>
      </c>
      <c r="AJ12" s="5" t="s">
        <v>40</v>
      </c>
      <c r="AK12" s="129">
        <v>570416.05000000005</v>
      </c>
      <c r="AL12" s="129">
        <v>310686.17036666669</v>
      </c>
      <c r="AM12" s="129">
        <v>0</v>
      </c>
      <c r="AN12" s="123">
        <f t="shared" si="17"/>
        <v>310686.17036666669</v>
      </c>
      <c r="AO12" s="130">
        <f t="shared" si="18"/>
        <v>6.6030848717307314E-2</v>
      </c>
      <c r="AP12" s="161">
        <f t="shared" si="21"/>
        <v>9.3543890002637617E-2</v>
      </c>
      <c r="AQ12" s="123">
        <f>AN12+1/3*AK12</f>
        <v>500824.85370000004</v>
      </c>
      <c r="AR12" s="129">
        <f>SUM(AK12:AM12)</f>
        <v>881102.22036666679</v>
      </c>
    </row>
    <row r="13" spans="1:44" ht="16" hidden="1" x14ac:dyDescent="0.2">
      <c r="A13" s="5" t="s">
        <v>34</v>
      </c>
      <c r="B13" s="37">
        <v>37792.18</v>
      </c>
      <c r="C13" s="13">
        <v>210248.59375</v>
      </c>
      <c r="D13" s="38">
        <f t="shared" si="9"/>
        <v>163367.61374999999</v>
      </c>
      <c r="E13" s="47">
        <v>84673.16</v>
      </c>
      <c r="F13" s="13">
        <v>37218.000625000001</v>
      </c>
      <c r="G13" s="13">
        <v>213540.26</v>
      </c>
      <c r="H13" s="38">
        <f t="shared" si="19"/>
        <v>232276.829375</v>
      </c>
      <c r="I13" s="47">
        <v>28718.59</v>
      </c>
      <c r="J13" s="13">
        <v>0</v>
      </c>
      <c r="K13" s="13">
        <v>216455.89874999999</v>
      </c>
      <c r="L13" s="38">
        <f>I13-J13+K13-M6</f>
        <v>194618.20874999999</v>
      </c>
      <c r="M13" s="47">
        <v>0</v>
      </c>
      <c r="N13" s="13">
        <v>0</v>
      </c>
      <c r="O13" s="13">
        <v>0</v>
      </c>
      <c r="P13" s="38">
        <f t="shared" si="2"/>
        <v>0</v>
      </c>
      <c r="Q13" s="47">
        <v>0</v>
      </c>
      <c r="R13" s="13">
        <v>0</v>
      </c>
      <c r="S13" s="13">
        <v>0</v>
      </c>
      <c r="T13" s="38">
        <f t="shared" si="3"/>
        <v>0</v>
      </c>
      <c r="U13" s="47">
        <v>0</v>
      </c>
      <c r="V13" s="16">
        <v>0</v>
      </c>
      <c r="W13" s="16">
        <v>0</v>
      </c>
      <c r="X13" s="38">
        <f t="shared" si="4"/>
        <v>0</v>
      </c>
      <c r="Y13" s="46">
        <v>0</v>
      </c>
      <c r="Z13" s="16">
        <v>0</v>
      </c>
      <c r="AA13" s="16">
        <v>0</v>
      </c>
      <c r="AB13" s="117"/>
      <c r="AC13" s="118"/>
      <c r="AD13" s="118"/>
      <c r="AE13" s="119"/>
      <c r="AF13" s="64"/>
      <c r="AG13" s="27"/>
      <c r="AH13" s="62"/>
      <c r="AJ13" s="5"/>
      <c r="AK13" s="134"/>
      <c r="AL13" s="135"/>
      <c r="AM13" s="135"/>
      <c r="AN13" s="135"/>
      <c r="AO13" s="130">
        <f t="shared" si="18"/>
        <v>0</v>
      </c>
      <c r="AP13" s="161">
        <f t="shared" si="21"/>
        <v>0</v>
      </c>
      <c r="AQ13" s="135"/>
      <c r="AR13" s="136"/>
    </row>
    <row r="14" spans="1:44" ht="16" x14ac:dyDescent="0.2">
      <c r="A14" s="5" t="s">
        <v>41</v>
      </c>
      <c r="B14" s="37">
        <v>107341.89</v>
      </c>
      <c r="C14" s="13">
        <v>252807.125</v>
      </c>
      <c r="D14" s="38">
        <f t="shared" si="9"/>
        <v>350656.77500000002</v>
      </c>
      <c r="E14" s="47">
        <v>9492.24</v>
      </c>
      <c r="F14" s="13">
        <v>0</v>
      </c>
      <c r="G14" s="13">
        <v>296765.08999999997</v>
      </c>
      <c r="H14" s="38">
        <f t="shared" si="19"/>
        <v>302345.99999999994</v>
      </c>
      <c r="I14" s="47">
        <v>3911.33</v>
      </c>
      <c r="J14" s="13">
        <v>0</v>
      </c>
      <c r="K14" s="13">
        <v>260270.913</v>
      </c>
      <c r="L14" s="38">
        <f t="shared" si="1"/>
        <v>264182.24300000002</v>
      </c>
      <c r="M14" s="46">
        <v>0</v>
      </c>
      <c r="N14" s="13">
        <v>0</v>
      </c>
      <c r="O14" s="13">
        <f>268403.54+57611.42</f>
        <v>326014.95999999996</v>
      </c>
      <c r="P14" s="38">
        <f t="shared" si="2"/>
        <v>281125.63999999996</v>
      </c>
      <c r="Q14" s="47">
        <v>44889.32</v>
      </c>
      <c r="R14" s="13">
        <v>0</v>
      </c>
      <c r="S14" s="13">
        <v>277352.2</v>
      </c>
      <c r="T14" s="38">
        <f t="shared" si="3"/>
        <v>230663.91000000003</v>
      </c>
      <c r="U14" s="47">
        <v>91577.61</v>
      </c>
      <c r="V14" s="16">
        <v>0</v>
      </c>
      <c r="W14" s="16">
        <v>251200.19565000001</v>
      </c>
      <c r="X14" s="38">
        <f t="shared" si="4"/>
        <v>-762.32435000000987</v>
      </c>
      <c r="Y14" s="46">
        <v>343540.13</v>
      </c>
      <c r="Z14" s="16">
        <v>0</v>
      </c>
      <c r="AA14" s="16">
        <v>177596.59540000002</v>
      </c>
      <c r="AB14" s="71">
        <f>Y14+AA14-102700</f>
        <v>418436.7254</v>
      </c>
      <c r="AC14" s="71">
        <f>AH14-0.33*AB14</f>
        <v>134569.82211799995</v>
      </c>
      <c r="AD14" s="81">
        <f>AC14/SUM($AE$22)</f>
        <v>3.2551349944142556E-2</v>
      </c>
      <c r="AE14" s="71">
        <f t="shared" si="16"/>
        <v>553006.54751800001</v>
      </c>
      <c r="AF14" s="64"/>
      <c r="AG14" s="27" t="s">
        <v>41</v>
      </c>
      <c r="AH14" s="62">
        <f t="shared" si="20"/>
        <v>272653.94149999996</v>
      </c>
      <c r="AJ14" s="5" t="s">
        <v>41</v>
      </c>
      <c r="AK14" s="129">
        <v>418436.7254</v>
      </c>
      <c r="AL14" s="129">
        <v>134569.82211799995</v>
      </c>
      <c r="AM14" s="129">
        <f>'Targeted Beneficiary Funding'!A77</f>
        <v>5409.1102400000009</v>
      </c>
      <c r="AN14" s="123">
        <f t="shared" ref="AN14:AN19" si="22">SUM(AL14:AM14)</f>
        <v>139978.93235799996</v>
      </c>
      <c r="AO14" s="130">
        <f t="shared" si="18"/>
        <v>2.97500455048673E-2</v>
      </c>
      <c r="AP14" s="161">
        <f t="shared" si="21"/>
        <v>4.2145982345238836E-2</v>
      </c>
      <c r="AQ14" s="123">
        <f>AN14+1/3*AK14</f>
        <v>279457.84082466661</v>
      </c>
      <c r="AR14" s="129">
        <f t="shared" ref="AR14:AR18" si="23">SUM(AK14:AM14)</f>
        <v>558415.65775799996</v>
      </c>
    </row>
    <row r="15" spans="1:44" ht="16" x14ac:dyDescent="0.2">
      <c r="A15" s="5" t="s">
        <v>42</v>
      </c>
      <c r="B15" s="37">
        <v>2918.11</v>
      </c>
      <c r="C15" s="13">
        <v>46047.53125</v>
      </c>
      <c r="D15" s="38">
        <f t="shared" si="9"/>
        <v>42999.541250000002</v>
      </c>
      <c r="E15" s="47">
        <v>5966.1</v>
      </c>
      <c r="F15" s="13">
        <v>1361.3468750000002</v>
      </c>
      <c r="G15" s="13">
        <v>46768.45</v>
      </c>
      <c r="H15" s="38">
        <f t="shared" si="19"/>
        <v>43968.153124999997</v>
      </c>
      <c r="I15" s="47">
        <v>7405.05</v>
      </c>
      <c r="J15" s="13">
        <v>0</v>
      </c>
      <c r="K15" s="13">
        <v>47407.022250000002</v>
      </c>
      <c r="L15" s="38">
        <f t="shared" si="1"/>
        <v>54677.182250000005</v>
      </c>
      <c r="M15" s="47">
        <v>134.88999999999999</v>
      </c>
      <c r="N15" s="13">
        <v>0</v>
      </c>
      <c r="O15" s="13">
        <v>47094.55</v>
      </c>
      <c r="P15" s="38">
        <f t="shared" si="2"/>
        <v>46170.37</v>
      </c>
      <c r="Q15" s="47">
        <v>1059.07</v>
      </c>
      <c r="R15" s="13">
        <v>0</v>
      </c>
      <c r="S15" s="13">
        <v>48664.7</v>
      </c>
      <c r="T15" s="38">
        <f t="shared" si="3"/>
        <v>43093.95</v>
      </c>
      <c r="U15" s="47">
        <v>6629.82</v>
      </c>
      <c r="V15" s="16">
        <v>0</v>
      </c>
      <c r="W15" s="16">
        <v>44076.023774999994</v>
      </c>
      <c r="X15" s="38">
        <f t="shared" si="4"/>
        <v>4410.5937749999939</v>
      </c>
      <c r="Y15" s="46">
        <v>46295.25</v>
      </c>
      <c r="Z15" s="16">
        <v>0</v>
      </c>
      <c r="AA15" s="16">
        <v>31161.407899999998</v>
      </c>
      <c r="AB15" s="71">
        <f>5000</f>
        <v>5000</v>
      </c>
      <c r="AC15" s="71">
        <f>AH15-0.33*AB15</f>
        <v>48773.776125000004</v>
      </c>
      <c r="AD15" s="81">
        <f>AC15/SUM($AE$22)</f>
        <v>1.1797981373193607E-2</v>
      </c>
      <c r="AE15" s="71">
        <f t="shared" si="16"/>
        <v>53773.776125000004</v>
      </c>
      <c r="AF15" s="64"/>
      <c r="AG15" s="27" t="s">
        <v>42</v>
      </c>
      <c r="AH15" s="62">
        <f>(L15+P15)/2</f>
        <v>50423.776125000004</v>
      </c>
      <c r="AJ15" s="5" t="s">
        <v>42</v>
      </c>
      <c r="AK15" s="129">
        <v>5000</v>
      </c>
      <c r="AL15" s="129">
        <v>48773.776125000004</v>
      </c>
      <c r="AM15" s="129">
        <f>'Targeted Beneficiary Funding'!A9</f>
        <v>40000</v>
      </c>
      <c r="AN15" s="123">
        <f t="shared" si="22"/>
        <v>88773.776125000004</v>
      </c>
      <c r="AO15" s="130">
        <f t="shared" si="18"/>
        <v>1.8867295491318374E-2</v>
      </c>
      <c r="AP15" s="161">
        <f t="shared" si="21"/>
        <v>2.6728722231682361E-2</v>
      </c>
      <c r="AQ15" s="123">
        <f>AN15+1/3*AK15</f>
        <v>90440.442791666675</v>
      </c>
      <c r="AR15" s="129">
        <f t="shared" si="23"/>
        <v>93773.776125000004</v>
      </c>
    </row>
    <row r="16" spans="1:44" ht="16" x14ac:dyDescent="0.2">
      <c r="A16" s="5" t="s">
        <v>43</v>
      </c>
      <c r="B16" s="37">
        <v>27957.32</v>
      </c>
      <c r="C16" s="13">
        <v>198800.3125</v>
      </c>
      <c r="D16" s="38">
        <f t="shared" si="9"/>
        <v>221437.76250000001</v>
      </c>
      <c r="E16" s="47">
        <v>5319.87</v>
      </c>
      <c r="F16" s="13">
        <v>0</v>
      </c>
      <c r="G16" s="13">
        <v>229597.74</v>
      </c>
      <c r="H16" s="38">
        <f t="shared" si="19"/>
        <v>218325.62999999998</v>
      </c>
      <c r="I16" s="47">
        <v>16591.98</v>
      </c>
      <c r="J16" s="13">
        <v>0</v>
      </c>
      <c r="K16" s="13">
        <v>204669.6225</v>
      </c>
      <c r="L16" s="38">
        <f t="shared" si="1"/>
        <v>213892.48250000001</v>
      </c>
      <c r="M16" s="47">
        <v>7369.12</v>
      </c>
      <c r="N16" s="13">
        <v>0</v>
      </c>
      <c r="O16" s="13">
        <v>207145.21</v>
      </c>
      <c r="P16" s="38">
        <f t="shared" si="2"/>
        <v>213890.28</v>
      </c>
      <c r="Q16" s="47">
        <v>624.04999999999995</v>
      </c>
      <c r="R16" s="13">
        <v>0</v>
      </c>
      <c r="S16" s="13">
        <v>214051.5</v>
      </c>
      <c r="T16" s="38">
        <f t="shared" si="3"/>
        <v>160773.43</v>
      </c>
      <c r="U16" s="47">
        <v>53902.12</v>
      </c>
      <c r="V16" s="16">
        <v>0</v>
      </c>
      <c r="W16" s="16">
        <v>193868.22487500001</v>
      </c>
      <c r="X16" s="38">
        <f t="shared" si="4"/>
        <v>49816.514875000023</v>
      </c>
      <c r="Y16" s="46">
        <v>197953.83</v>
      </c>
      <c r="Z16" s="16">
        <v>0</v>
      </c>
      <c r="AA16" s="16">
        <v>137063.33550000002</v>
      </c>
      <c r="AB16" s="71">
        <f>Y16+AA16-248807.09</f>
        <v>86210.075500000006</v>
      </c>
      <c r="AC16" s="71">
        <f>AH16-0.33*AB16</f>
        <v>185442.056335</v>
      </c>
      <c r="AD16" s="81">
        <f>AC16/SUM($AE$22)</f>
        <v>4.4856931332114471E-2</v>
      </c>
      <c r="AE16" s="71">
        <f>SUM(AB16:AC16)</f>
        <v>271652.13183500001</v>
      </c>
      <c r="AF16" s="64"/>
      <c r="AG16" s="27" t="s">
        <v>43</v>
      </c>
      <c r="AH16" s="62">
        <f t="shared" si="20"/>
        <v>213891.38125000001</v>
      </c>
      <c r="AJ16" s="5" t="s">
        <v>43</v>
      </c>
      <c r="AK16" s="129">
        <v>86210.075500000006</v>
      </c>
      <c r="AL16" s="129">
        <v>185442.056335</v>
      </c>
      <c r="AM16" s="129">
        <f>'Targeted Beneficiary Funding'!A67</f>
        <v>120000</v>
      </c>
      <c r="AN16" s="123">
        <f>SUM(AL16:AM16)</f>
        <v>305442.05633499997</v>
      </c>
      <c r="AO16" s="130">
        <f t="shared" si="18"/>
        <v>6.4916305061010579E-2</v>
      </c>
      <c r="AP16" s="161">
        <f t="shared" si="21"/>
        <v>9.1964949988794786E-2</v>
      </c>
      <c r="AQ16" s="123">
        <f>AN16+1/3*AK16</f>
        <v>334178.74816833332</v>
      </c>
      <c r="AR16" s="129">
        <f t="shared" si="23"/>
        <v>391652.13183500001</v>
      </c>
    </row>
    <row r="17" spans="1:44" ht="16" x14ac:dyDescent="0.2">
      <c r="A17" s="5" t="s">
        <v>44</v>
      </c>
      <c r="B17" s="37">
        <v>-2250</v>
      </c>
      <c r="C17" s="13">
        <v>86467.25</v>
      </c>
      <c r="D17" s="38">
        <f t="shared" si="9"/>
        <v>69511.86</v>
      </c>
      <c r="E17" s="47">
        <v>14705.39</v>
      </c>
      <c r="F17" s="13">
        <v>1939.5249999999996</v>
      </c>
      <c r="G17" s="13">
        <v>87664.42</v>
      </c>
      <c r="H17" s="38">
        <f t="shared" si="19"/>
        <v>88643.005000000005</v>
      </c>
      <c r="I17" s="47">
        <v>11787.28</v>
      </c>
      <c r="J17" s="13">
        <v>0</v>
      </c>
      <c r="K17" s="13">
        <v>78724.842000000004</v>
      </c>
      <c r="L17" s="38">
        <f t="shared" si="1"/>
        <v>86621.282000000007</v>
      </c>
      <c r="M17" s="47">
        <v>3890.84</v>
      </c>
      <c r="N17" s="13">
        <v>0</v>
      </c>
      <c r="O17" s="13">
        <v>79671.23</v>
      </c>
      <c r="P17" s="38">
        <f t="shared" si="2"/>
        <v>58884.139999999992</v>
      </c>
      <c r="Q17" s="47">
        <v>24677.93</v>
      </c>
      <c r="R17" s="13">
        <v>0</v>
      </c>
      <c r="S17" s="13">
        <v>82327.5</v>
      </c>
      <c r="T17" s="38">
        <f t="shared" si="3"/>
        <v>68500.419999999984</v>
      </c>
      <c r="U17" s="47">
        <v>38505.01</v>
      </c>
      <c r="V17" s="16">
        <v>0</v>
      </c>
      <c r="W17" s="16">
        <v>74564.701874999999</v>
      </c>
      <c r="X17" s="48">
        <f t="shared" si="4"/>
        <v>-8473.2881249999919</v>
      </c>
      <c r="Y17" s="49">
        <v>121543</v>
      </c>
      <c r="Z17" s="16">
        <v>0</v>
      </c>
      <c r="AA17" s="16">
        <v>52716.667499999996</v>
      </c>
      <c r="AB17" s="71">
        <v>16000</v>
      </c>
      <c r="AC17" s="71">
        <v>72752.710999999996</v>
      </c>
      <c r="AD17" s="81">
        <f>AC17/SUM($AE$22)</f>
        <v>1.7598291488187239E-2</v>
      </c>
      <c r="AE17" s="71">
        <f t="shared" si="16"/>
        <v>88752.710999999996</v>
      </c>
      <c r="AF17" s="64"/>
      <c r="AG17" s="27" t="s">
        <v>44</v>
      </c>
      <c r="AH17" s="62">
        <f>(L17+P17)/2</f>
        <v>72752.710999999996</v>
      </c>
      <c r="AJ17" s="5" t="s">
        <v>44</v>
      </c>
      <c r="AK17" s="129">
        <v>16000</v>
      </c>
      <c r="AL17" s="129">
        <v>72752.710999999996</v>
      </c>
      <c r="AM17" s="129">
        <v>0</v>
      </c>
      <c r="AN17" s="123">
        <f t="shared" si="22"/>
        <v>72752.710999999996</v>
      </c>
      <c r="AO17" s="130">
        <f t="shared" si="18"/>
        <v>1.5462301550614461E-2</v>
      </c>
      <c r="AP17" s="161">
        <f t="shared" si="21"/>
        <v>2.1904971139030296E-2</v>
      </c>
      <c r="AQ17" s="123">
        <f>AN17+1/3*AK17</f>
        <v>78086.044333333324</v>
      </c>
      <c r="AR17" s="129">
        <f t="shared" si="23"/>
        <v>88752.710999999996</v>
      </c>
    </row>
    <row r="18" spans="1:44" ht="16" x14ac:dyDescent="0.2">
      <c r="A18" s="5" t="s">
        <v>45</v>
      </c>
      <c r="B18" s="37">
        <v>24539.119999999999</v>
      </c>
      <c r="C18" s="13">
        <v>30601.4375</v>
      </c>
      <c r="D18" s="38">
        <f t="shared" si="9"/>
        <v>52082.017499999994</v>
      </c>
      <c r="E18" s="47">
        <v>3058.54</v>
      </c>
      <c r="F18" s="13">
        <v>0</v>
      </c>
      <c r="G18" s="13">
        <v>37580.54</v>
      </c>
      <c r="H18" s="38">
        <f t="shared" si="19"/>
        <v>29795.410000000003</v>
      </c>
      <c r="I18" s="47">
        <v>10843.67</v>
      </c>
      <c r="J18" s="13">
        <v>0</v>
      </c>
      <c r="K18" s="13">
        <v>31504.9035</v>
      </c>
      <c r="L18" s="38">
        <f t="shared" si="1"/>
        <v>36987.083500000001</v>
      </c>
      <c r="M18" s="47">
        <v>5361.49</v>
      </c>
      <c r="N18" s="13">
        <v>0</v>
      </c>
      <c r="O18" s="13">
        <v>41074.949999999997</v>
      </c>
      <c r="P18" s="38">
        <f t="shared" si="2"/>
        <v>44468.789999999994</v>
      </c>
      <c r="Q18" s="47">
        <v>1967.65</v>
      </c>
      <c r="R18" s="13">
        <v>0</v>
      </c>
      <c r="S18" s="13">
        <v>42444.399999999994</v>
      </c>
      <c r="T18" s="38">
        <f t="shared" si="3"/>
        <v>25857.099999999995</v>
      </c>
      <c r="U18" s="47">
        <v>18554.95</v>
      </c>
      <c r="V18" s="16">
        <v>0</v>
      </c>
      <c r="W18" s="16">
        <v>38442.246299999999</v>
      </c>
      <c r="X18" s="38">
        <f t="shared" si="4"/>
        <v>17771.376299999996</v>
      </c>
      <c r="Y18" s="46">
        <v>39225.82</v>
      </c>
      <c r="Z18" s="16">
        <v>0</v>
      </c>
      <c r="AA18" s="16">
        <v>27178.370799999997</v>
      </c>
      <c r="AB18" s="71">
        <v>8000</v>
      </c>
      <c r="AC18" s="71">
        <v>40727.936750000001</v>
      </c>
      <c r="AD18" s="81">
        <f>AC18/SUM($AE$22)</f>
        <v>9.8517580003163498E-3</v>
      </c>
      <c r="AE18" s="71">
        <f t="shared" si="16"/>
        <v>48727.936750000001</v>
      </c>
      <c r="AF18" s="64"/>
      <c r="AG18" s="27" t="s">
        <v>45</v>
      </c>
      <c r="AH18" s="62">
        <f t="shared" si="20"/>
        <v>40727.936749999993</v>
      </c>
      <c r="AJ18" s="5" t="s">
        <v>45</v>
      </c>
      <c r="AK18" s="129">
        <v>8000</v>
      </c>
      <c r="AL18" s="129">
        <v>40727.936750000001</v>
      </c>
      <c r="AM18" s="129">
        <f>'Targeted Beneficiary Funding'!A16</f>
        <v>26600</v>
      </c>
      <c r="AN18" s="123">
        <f t="shared" si="22"/>
        <v>67327.936749999993</v>
      </c>
      <c r="AO18" s="130">
        <f t="shared" si="18"/>
        <v>1.4309361761229728E-2</v>
      </c>
      <c r="AP18" s="161">
        <f t="shared" si="21"/>
        <v>2.0271636494194795E-2</v>
      </c>
      <c r="AQ18" s="123">
        <f>AN18+1/3*AK18</f>
        <v>69994.603416666665</v>
      </c>
      <c r="AR18" s="129">
        <f t="shared" si="23"/>
        <v>75327.936749999993</v>
      </c>
    </row>
    <row r="19" spans="1:44" ht="17" thickBot="1" x14ac:dyDescent="0.25">
      <c r="A19" s="24" t="s">
        <v>46</v>
      </c>
      <c r="B19" s="43">
        <f t="shared" ref="B19:D19" si="24">SUM(B10:B18)</f>
        <v>586779.07999999996</v>
      </c>
      <c r="C19" s="44">
        <f t="shared" si="24"/>
        <v>3763174.0062500001</v>
      </c>
      <c r="D19" s="45">
        <f t="shared" si="24"/>
        <v>4033529.7762500001</v>
      </c>
      <c r="E19" s="43">
        <f t="shared" ref="E19" si="25">SUM(E10:E18)</f>
        <v>316423.31</v>
      </c>
      <c r="F19" s="44">
        <f t="shared" ref="F19" si="26">SUM(F10:F18)</f>
        <v>40518.872500000005</v>
      </c>
      <c r="G19" s="44">
        <f t="shared" ref="G19:H19" si="27">SUM(G10:G18)</f>
        <v>4026940.9400000004</v>
      </c>
      <c r="H19" s="45">
        <f t="shared" si="27"/>
        <v>4151382.3475000001</v>
      </c>
      <c r="I19" s="43">
        <f t="shared" ref="I19" si="28">SUM(I10:I18)</f>
        <v>151463.03000000003</v>
      </c>
      <c r="J19" s="44">
        <f t="shared" ref="J19" si="29">SUM(J10:J18)</f>
        <v>0</v>
      </c>
      <c r="K19" s="44">
        <f t="shared" ref="K19:L19" si="30">SUM(K10:K18)</f>
        <v>3741675.0000000009</v>
      </c>
      <c r="L19" s="45">
        <f t="shared" si="30"/>
        <v>3512980.5800000005</v>
      </c>
      <c r="M19" s="43">
        <f>SUM(M10:M18)</f>
        <v>329601.17</v>
      </c>
      <c r="N19" s="44">
        <f t="shared" ref="N19" si="31">SUM(N10:N18)</f>
        <v>125328.32799999999</v>
      </c>
      <c r="O19" s="44">
        <f t="shared" ref="O19:P19" si="32">SUM(O10:O18)</f>
        <v>3698555.17</v>
      </c>
      <c r="P19" s="45">
        <f t="shared" si="32"/>
        <v>3411198.3620000002</v>
      </c>
      <c r="Q19" s="43">
        <f>SUM(Q10:Q18)</f>
        <v>491629.65</v>
      </c>
      <c r="R19" s="44">
        <f t="shared" ref="R19" si="33">SUM(R10:R18)</f>
        <v>112785.30699999997</v>
      </c>
      <c r="S19" s="44">
        <f t="shared" ref="S19:T19" si="34">SUM(S10:S18)</f>
        <v>3659000.0000000005</v>
      </c>
      <c r="T19" s="45">
        <f t="shared" si="34"/>
        <v>2743289.2930000005</v>
      </c>
      <c r="U19" s="43">
        <f>SUM(U10:U18)</f>
        <v>1294555.0500000003</v>
      </c>
      <c r="V19" s="44">
        <f t="shared" ref="V19" si="35">SUM(V10:V18)</f>
        <v>0</v>
      </c>
      <c r="W19" s="44">
        <f t="shared" ref="W19:X19" si="36">SUM(W10:W18)</f>
        <v>3313986.75</v>
      </c>
      <c r="X19" s="45">
        <f t="shared" si="36"/>
        <v>1757296.67</v>
      </c>
      <c r="Y19" s="43">
        <f>SUM(Y10:Y18)</f>
        <v>2851245.1299999994</v>
      </c>
      <c r="Z19" s="44">
        <f t="shared" ref="Z19" si="37">SUM(Z10:Z18)</f>
        <v>0</v>
      </c>
      <c r="AA19" s="44">
        <f t="shared" ref="AA19:AB19" si="38">SUM(AA10:AA18)</f>
        <v>2342963.0000000005</v>
      </c>
      <c r="AB19" s="71">
        <f t="shared" si="38"/>
        <v>1539062.8509000002</v>
      </c>
      <c r="AC19" s="71">
        <f>SUM(AC10:AC18)</f>
        <v>3015380.1750696665</v>
      </c>
      <c r="AD19" s="81">
        <f>SUM(AD14:AD18,AD10:AD12)</f>
        <v>0.72939603953146237</v>
      </c>
      <c r="AE19" s="71">
        <f>AC19+AB19</f>
        <v>4554443.0259696664</v>
      </c>
      <c r="AG19" s="6" t="s">
        <v>46</v>
      </c>
      <c r="AH19" s="63">
        <f>SUM(AH10:AH18)</f>
        <v>3364780.3666250007</v>
      </c>
      <c r="AJ19" s="24" t="s">
        <v>46</v>
      </c>
      <c r="AK19" s="126">
        <v>1539062.8509000002</v>
      </c>
      <c r="AL19" s="126">
        <f>SUM(AL10:AL18)</f>
        <v>3015380.1750696665</v>
      </c>
      <c r="AM19" s="126">
        <f>SUM(AM10:AM18)</f>
        <v>305907.51521033363</v>
      </c>
      <c r="AN19" s="126">
        <f t="shared" si="22"/>
        <v>3321287.6902800002</v>
      </c>
      <c r="AO19" s="131">
        <f>AN19/$AM$21</f>
        <v>0.70588093691042209</v>
      </c>
      <c r="AP19" s="131">
        <f>SUM(AP10:AP18)</f>
        <v>1</v>
      </c>
      <c r="AQ19" s="126">
        <f>SUM(AM19:AN19)</f>
        <v>3627195.205490334</v>
      </c>
      <c r="AR19" s="126">
        <f>SUM(AK19:AM19)</f>
        <v>4860350.5411799997</v>
      </c>
    </row>
    <row r="20" spans="1:44" ht="16" thickTop="1" x14ac:dyDescent="0.2">
      <c r="H20" t="s">
        <v>47</v>
      </c>
      <c r="I20" s="52" t="s">
        <v>48</v>
      </c>
      <c r="K20" s="13"/>
    </row>
    <row r="21" spans="1:44" ht="16" x14ac:dyDescent="0.2">
      <c r="A21" s="25" t="s">
        <v>29</v>
      </c>
      <c r="B21" s="26" t="s">
        <v>49</v>
      </c>
      <c r="C21" s="26" t="s">
        <v>50</v>
      </c>
      <c r="D21" s="26" t="s">
        <v>51</v>
      </c>
      <c r="E21" s="26" t="s">
        <v>52</v>
      </c>
      <c r="F21" s="26" t="s">
        <v>53</v>
      </c>
      <c r="G21" s="26" t="s">
        <v>54</v>
      </c>
      <c r="H21" s="26" t="s">
        <v>55</v>
      </c>
      <c r="I21" s="26" t="s">
        <v>56</v>
      </c>
      <c r="J21" s="13"/>
      <c r="K21" s="13"/>
      <c r="L21" s="13"/>
      <c r="N21" s="13"/>
      <c r="O21" s="13"/>
      <c r="P21" s="13"/>
      <c r="Q21" s="13"/>
      <c r="R21" s="13"/>
      <c r="S21" s="13"/>
      <c r="T21" s="13"/>
      <c r="U21" s="13"/>
      <c r="V21" s="13"/>
      <c r="Y21" s="13"/>
      <c r="AB21" s="58" t="s">
        <v>57</v>
      </c>
      <c r="AC21" s="60">
        <f>Income!$I5</f>
        <v>4705167</v>
      </c>
      <c r="AD21" s="76"/>
      <c r="AE21" s="120" t="s">
        <v>28</v>
      </c>
      <c r="AF21" s="13"/>
      <c r="AH21" s="13"/>
      <c r="AK21" s="189" t="s">
        <v>297</v>
      </c>
      <c r="AL21" s="190"/>
      <c r="AM21" s="137">
        <f>Income!$I5</f>
        <v>4705167</v>
      </c>
      <c r="AN21" s="76"/>
      <c r="AO21" s="76"/>
      <c r="AP21" s="76"/>
      <c r="AQ21" s="76"/>
      <c r="AR21" s="76"/>
    </row>
    <row r="22" spans="1:44" ht="16" x14ac:dyDescent="0.2">
      <c r="A22" s="27" t="s">
        <v>31</v>
      </c>
      <c r="B22" s="31">
        <f>D3/(B3+C3)</f>
        <v>0.8244428636391512</v>
      </c>
      <c r="C22" s="31">
        <f>H3/(E3-F3+G3)</f>
        <v>0.80228009067082762</v>
      </c>
      <c r="D22" s="31">
        <f>L3/(I3-J3+K3)</f>
        <v>0.91501402561792311</v>
      </c>
      <c r="E22" s="31">
        <f>P3/(M3-N3+O3)</f>
        <v>0.78474520689677307</v>
      </c>
      <c r="F22" s="31">
        <f>T3/(Q3-R3+S3)</f>
        <v>0.73803830171653295</v>
      </c>
      <c r="G22" s="31">
        <f>X3/(U3-V3+W3)</f>
        <v>0.67869512770351492</v>
      </c>
      <c r="H22" s="32">
        <f>AVERAGE(B22:D22)</f>
        <v>0.84724565997596724</v>
      </c>
      <c r="I22" s="32">
        <f>AVERAGE(E22:G22)</f>
        <v>0.73382621210560706</v>
      </c>
      <c r="J22" s="29"/>
      <c r="K22" s="29"/>
      <c r="W22" s="13"/>
      <c r="Y22" s="57"/>
      <c r="AB22" s="58" t="s">
        <v>58</v>
      </c>
      <c r="AC22" s="60">
        <f>AC7</f>
        <v>1118697.8999999999</v>
      </c>
      <c r="AD22" s="76"/>
      <c r="AE22" s="120">
        <f>AC7+AC19</f>
        <v>4134078.0750696664</v>
      </c>
      <c r="AG22" s="13"/>
      <c r="AK22" s="189" t="s">
        <v>29</v>
      </c>
      <c r="AL22" s="190"/>
      <c r="AM22" s="137">
        <f>AN7</f>
        <v>1383879.3097199998</v>
      </c>
      <c r="AN22" s="76"/>
      <c r="AO22" s="76"/>
      <c r="AP22" s="76"/>
      <c r="AQ22" s="76"/>
      <c r="AR22" s="76"/>
    </row>
    <row r="23" spans="1:44" ht="16" x14ac:dyDescent="0.2">
      <c r="A23" s="27" t="s">
        <v>32</v>
      </c>
      <c r="B23" s="31">
        <f t="shared" ref="B23:B24" si="39">D4/(B4+C4)</f>
        <v>0.93897112151883166</v>
      </c>
      <c r="C23" s="31">
        <f t="shared" ref="C23:C24" si="40">H4/(E4-F4+G4)</f>
        <v>0.91807530802851756</v>
      </c>
      <c r="D23" s="31">
        <f t="shared" ref="D23:D24" si="41">L4/(I4-J4+K4)</f>
        <v>0.9308993879906472</v>
      </c>
      <c r="E23" s="31">
        <f t="shared" ref="E23:E25" si="42">P4/(M4-N4+O4)</f>
        <v>0.92752498651709037</v>
      </c>
      <c r="F23" s="31">
        <f t="shared" ref="F23:F25" si="43">T4/(Q4-R4+S4)</f>
        <v>0.63075647413560498</v>
      </c>
      <c r="G23" s="31">
        <f t="shared" ref="G23:G25" si="44">X4/(U4-V4+W4)</f>
        <v>0.30057924827074473</v>
      </c>
      <c r="H23" s="32">
        <f>AVERAGE(B23:D23)</f>
        <v>0.92931527251266555</v>
      </c>
      <c r="I23" s="32">
        <f t="shared" ref="I23:I25" si="45">AVERAGE(E23:G23)</f>
        <v>0.61962023630781338</v>
      </c>
      <c r="J23" s="29"/>
      <c r="K23" s="30"/>
      <c r="S23" s="13"/>
      <c r="Z23" s="56"/>
      <c r="AB23" s="58" t="s">
        <v>59</v>
      </c>
      <c r="AC23" s="65">
        <f>AC19</f>
        <v>3015380.1750696665</v>
      </c>
      <c r="AD23" s="80"/>
      <c r="AE23" s="121">
        <f>24000/AH12</f>
        <v>6.6991778208271041E-2</v>
      </c>
      <c r="AF23" s="56"/>
      <c r="AK23" s="189" t="s">
        <v>36</v>
      </c>
      <c r="AL23" s="190"/>
      <c r="AM23" s="137">
        <f>AN19</f>
        <v>3321287.6902800002</v>
      </c>
      <c r="AN23" s="80"/>
      <c r="AO23" s="80"/>
      <c r="AP23" s="80"/>
      <c r="AQ23" s="76"/>
      <c r="AR23" s="76"/>
    </row>
    <row r="24" spans="1:44" ht="16" x14ac:dyDescent="0.2">
      <c r="A24" s="27" t="s">
        <v>33</v>
      </c>
      <c r="B24" s="31">
        <f t="shared" si="39"/>
        <v>0.87742877643821415</v>
      </c>
      <c r="C24" s="31">
        <f t="shared" si="40"/>
        <v>0.93901330093935886</v>
      </c>
      <c r="D24" s="31">
        <f t="shared" si="41"/>
        <v>0.85137019866937336</v>
      </c>
      <c r="E24" s="31">
        <f t="shared" si="42"/>
        <v>0.74482484965198248</v>
      </c>
      <c r="F24" s="31">
        <f t="shared" si="43"/>
        <v>0.60545807560137466</v>
      </c>
      <c r="G24" s="31">
        <f t="shared" si="44"/>
        <v>0.12791256420778169</v>
      </c>
      <c r="H24" s="32">
        <f t="shared" ref="H24:H35" si="46">AVERAGE(B24:D24)</f>
        <v>0.88927075868231553</v>
      </c>
      <c r="I24" s="32">
        <f t="shared" si="45"/>
        <v>0.49273182982037955</v>
      </c>
      <c r="J24" s="29"/>
      <c r="Y24" s="13"/>
      <c r="Z24" s="13"/>
      <c r="AC24" s="56"/>
      <c r="AD24" s="84"/>
      <c r="AE24" s="122">
        <f>8/1400</f>
        <v>5.7142857142857143E-3</v>
      </c>
      <c r="AK24" s="189" t="s">
        <v>295</v>
      </c>
      <c r="AL24" s="190"/>
      <c r="AM24" s="138">
        <f>AM21-AM22-AM23</f>
        <v>0</v>
      </c>
      <c r="AN24" s="56"/>
      <c r="AO24" s="56"/>
      <c r="AP24" s="56"/>
      <c r="AQ24" s="56"/>
    </row>
    <row r="25" spans="1:44" ht="16" x14ac:dyDescent="0.2">
      <c r="A25" s="27" t="s">
        <v>34</v>
      </c>
      <c r="B25" s="31">
        <v>0</v>
      </c>
      <c r="C25" s="31">
        <v>0</v>
      </c>
      <c r="D25" s="31">
        <v>0</v>
      </c>
      <c r="E25" s="31">
        <f t="shared" si="42"/>
        <v>0.92279146277768442</v>
      </c>
      <c r="F25" s="31">
        <f t="shared" si="43"/>
        <v>0.79002969437992177</v>
      </c>
      <c r="G25" s="31">
        <f t="shared" si="44"/>
        <v>0.41970248332001181</v>
      </c>
      <c r="H25" s="31"/>
      <c r="I25" s="32">
        <f t="shared" si="45"/>
        <v>0.71084121349253937</v>
      </c>
      <c r="AA25" s="13"/>
      <c r="AB25" s="58" t="s">
        <v>60</v>
      </c>
      <c r="AC25" s="60">
        <f>AC21-AC22-AC23</f>
        <v>571088.92493033363</v>
      </c>
      <c r="AD25" s="76"/>
      <c r="AN25" s="76"/>
      <c r="AO25" s="76"/>
      <c r="AP25" s="159"/>
      <c r="AQ25" s="76"/>
    </row>
    <row r="26" spans="1:44" ht="16" x14ac:dyDescent="0.2">
      <c r="A26" s="25" t="s">
        <v>36</v>
      </c>
      <c r="B26" s="26" t="s">
        <v>49</v>
      </c>
      <c r="C26" s="26" t="s">
        <v>50</v>
      </c>
      <c r="D26" s="26" t="s">
        <v>51</v>
      </c>
      <c r="E26" s="26" t="s">
        <v>52</v>
      </c>
      <c r="F26" s="26" t="s">
        <v>53</v>
      </c>
      <c r="G26" s="26" t="s">
        <v>54</v>
      </c>
      <c r="H26" s="26" t="s">
        <v>55</v>
      </c>
      <c r="I26" s="26" t="s">
        <v>56</v>
      </c>
      <c r="X26" s="13"/>
      <c r="Z26" s="13"/>
      <c r="AA26" s="13"/>
      <c r="AD26" s="76"/>
    </row>
    <row r="27" spans="1:44" ht="16" x14ac:dyDescent="0.2">
      <c r="A27" s="27" t="s">
        <v>38</v>
      </c>
      <c r="B27" s="31">
        <f>D10/(B10+C10)</f>
        <v>0.94812075256360817</v>
      </c>
      <c r="C27" s="31">
        <f>H10/(E10-F10+G10)</f>
        <v>0.96494136782673789</v>
      </c>
      <c r="D27" s="31">
        <f>L10/(I10-J10+K10)</f>
        <v>0.95159553834113608</v>
      </c>
      <c r="E27" s="31">
        <f>P10/(M10-N10+O10)</f>
        <v>0.90170204767890993</v>
      </c>
      <c r="F27" s="31">
        <f>T10/(Q10-R10+S10)</f>
        <v>0.65031607475849396</v>
      </c>
      <c r="G27" s="31">
        <f>X10/(U10-V10+W10)</f>
        <v>0.54693039119914211</v>
      </c>
      <c r="H27" s="32">
        <f>AVERAGE(B27:D27)</f>
        <v>0.95488588624382731</v>
      </c>
      <c r="I27" s="32">
        <f>AVERAGE(E27:G27)</f>
        <v>0.69964950454551522</v>
      </c>
      <c r="AA27" s="13"/>
      <c r="AB27" s="187" t="s">
        <v>445</v>
      </c>
      <c r="AC27" s="187"/>
      <c r="AD27" s="165" t="s">
        <v>446</v>
      </c>
      <c r="AL27" s="13"/>
    </row>
    <row r="28" spans="1:44" ht="16" x14ac:dyDescent="0.2">
      <c r="A28" s="27" t="s">
        <v>39</v>
      </c>
      <c r="B28" s="31">
        <f t="shared" ref="B28:B35" si="47">D11/(B11+C11)</f>
        <v>0.84812612909330687</v>
      </c>
      <c r="C28" s="31">
        <f t="shared" ref="C28:C35" si="48">H11/(E11-F11+G11)</f>
        <v>1</v>
      </c>
      <c r="D28" s="31">
        <f t="shared" ref="D28:D35" si="49">L11/(I11-J11+K11)</f>
        <v>1</v>
      </c>
      <c r="E28" s="31">
        <f t="shared" ref="E28:E35" si="50">P11/(M11-N11+O11)</f>
        <v>1</v>
      </c>
      <c r="F28" s="31">
        <f t="shared" ref="F28:F35" si="51">T11/(Q11-R11+S11)</f>
        <v>0.99482493742923872</v>
      </c>
      <c r="G28" s="31">
        <f t="shared" ref="G28:G35" si="52">X11/(U11-V11+W11)</f>
        <v>0.3096858702166938</v>
      </c>
      <c r="H28" s="32">
        <f t="shared" si="46"/>
        <v>0.94937537636443559</v>
      </c>
      <c r="I28" s="32">
        <f t="shared" ref="I28:I35" si="53">AVERAGE(E28:G28)</f>
        <v>0.76817026921531084</v>
      </c>
      <c r="Y28" s="56"/>
      <c r="AB28" s="58" t="s">
        <v>61</v>
      </c>
      <c r="AC28" s="60">
        <f>Y3</f>
        <v>231764.89</v>
      </c>
      <c r="AD28" s="76"/>
      <c r="AL28" s="13"/>
    </row>
    <row r="29" spans="1:44" ht="16" x14ac:dyDescent="0.2">
      <c r="A29" s="27" t="s">
        <v>40</v>
      </c>
      <c r="B29" s="31">
        <f t="shared" si="47"/>
        <v>1</v>
      </c>
      <c r="C29" s="31">
        <f t="shared" si="48"/>
        <v>1</v>
      </c>
      <c r="D29" s="31">
        <f t="shared" si="49"/>
        <v>0.53836315134436707</v>
      </c>
      <c r="E29" s="31">
        <f t="shared" si="50"/>
        <v>0.67808056025393426</v>
      </c>
      <c r="F29" s="31">
        <f t="shared" si="51"/>
        <v>0.48009667502714998</v>
      </c>
      <c r="G29" s="31">
        <f t="shared" si="52"/>
        <v>0.19969555176233239</v>
      </c>
      <c r="H29" s="32">
        <f t="shared" si="46"/>
        <v>0.84612105044812236</v>
      </c>
      <c r="I29" s="32">
        <f t="shared" si="53"/>
        <v>0.45262426234780556</v>
      </c>
      <c r="AB29" s="58" t="s">
        <v>62</v>
      </c>
      <c r="AC29" s="60">
        <f>AB5-75000</f>
        <v>71389.37</v>
      </c>
      <c r="AD29" s="85" t="s">
        <v>63</v>
      </c>
      <c r="AJ29" s="156"/>
      <c r="AK29" s="155"/>
    </row>
    <row r="30" spans="1:44" ht="16" x14ac:dyDescent="0.2">
      <c r="A30" s="27" t="s">
        <v>34</v>
      </c>
      <c r="B30" s="31">
        <f t="shared" si="47"/>
        <v>0.65863209213602125</v>
      </c>
      <c r="C30" s="31">
        <f t="shared" si="48"/>
        <v>0.88996515697949119</v>
      </c>
      <c r="D30" s="31">
        <f t="shared" si="49"/>
        <v>0.7937946959418305</v>
      </c>
      <c r="E30" s="31">
        <v>0</v>
      </c>
      <c r="F30" s="31">
        <v>0</v>
      </c>
      <c r="G30" s="31">
        <v>0</v>
      </c>
      <c r="H30" s="32">
        <f t="shared" si="46"/>
        <v>0.7807973150191142</v>
      </c>
      <c r="I30" s="32"/>
      <c r="AB30" s="58" t="s">
        <v>64</v>
      </c>
      <c r="AC30" s="60">
        <f>AB4-15000</f>
        <v>142810.02000000002</v>
      </c>
      <c r="AD30" t="s">
        <v>65</v>
      </c>
    </row>
    <row r="31" spans="1:44" ht="16" x14ac:dyDescent="0.2">
      <c r="A31" s="27" t="s">
        <v>41</v>
      </c>
      <c r="B31" s="31">
        <f t="shared" si="47"/>
        <v>0.97364357639573162</v>
      </c>
      <c r="C31" s="31">
        <f t="shared" si="48"/>
        <v>0.98722861588325084</v>
      </c>
      <c r="D31" s="31">
        <f t="shared" si="49"/>
        <v>1</v>
      </c>
      <c r="E31" s="31">
        <f t="shared" si="50"/>
        <v>0.86230901796653747</v>
      </c>
      <c r="F31" s="31">
        <f t="shared" si="51"/>
        <v>0.71581064414045714</v>
      </c>
      <c r="G31" s="31">
        <f t="shared" si="52"/>
        <v>-2.2239606457437797E-3</v>
      </c>
      <c r="H31" s="32">
        <f t="shared" si="46"/>
        <v>0.98695739742632738</v>
      </c>
      <c r="I31" s="32">
        <f t="shared" si="53"/>
        <v>0.52529856715375034</v>
      </c>
      <c r="AB31" s="58" t="s">
        <v>177</v>
      </c>
      <c r="AC31" s="60">
        <f>SUM(AC28:AC30)</f>
        <v>445964.28</v>
      </c>
      <c r="AL31" s="13"/>
    </row>
    <row r="32" spans="1:44" ht="16" x14ac:dyDescent="0.2">
      <c r="A32" s="27" t="s">
        <v>42</v>
      </c>
      <c r="B32" s="31">
        <f t="shared" si="47"/>
        <v>0.87815742125096752</v>
      </c>
      <c r="C32" s="31">
        <f t="shared" si="48"/>
        <v>0.85585773225036754</v>
      </c>
      <c r="D32" s="31">
        <f t="shared" si="49"/>
        <v>0.99753904578931518</v>
      </c>
      <c r="E32" s="31">
        <f t="shared" si="50"/>
        <v>0.97757606272697706</v>
      </c>
      <c r="F32" s="31">
        <f t="shared" si="51"/>
        <v>0.86666698844435974</v>
      </c>
      <c r="G32" s="31">
        <f t="shared" si="52"/>
        <v>8.698393413136718E-2</v>
      </c>
      <c r="H32" s="32">
        <f t="shared" si="46"/>
        <v>0.91051806643021671</v>
      </c>
      <c r="I32" s="32">
        <f t="shared" si="53"/>
        <v>0.64374232843423462</v>
      </c>
      <c r="AD32" t="s">
        <v>66</v>
      </c>
    </row>
    <row r="33" spans="1:24" ht="16" x14ac:dyDescent="0.2">
      <c r="A33" s="27" t="s">
        <v>43</v>
      </c>
      <c r="B33" s="31">
        <f t="shared" si="47"/>
        <v>0.97653940049845955</v>
      </c>
      <c r="C33" s="31">
        <f t="shared" si="48"/>
        <v>0.92937106758407761</v>
      </c>
      <c r="D33" s="31">
        <f t="shared" si="49"/>
        <v>0.96669498947518473</v>
      </c>
      <c r="E33" s="31">
        <f t="shared" si="50"/>
        <v>0.9970908703395247</v>
      </c>
      <c r="F33" s="31">
        <f t="shared" si="51"/>
        <v>0.74891355815788063</v>
      </c>
      <c r="G33" s="31">
        <f t="shared" si="52"/>
        <v>0.20105923047462529</v>
      </c>
      <c r="H33" s="32">
        <f t="shared" si="46"/>
        <v>0.95753515251924071</v>
      </c>
      <c r="I33" s="32">
        <f t="shared" si="53"/>
        <v>0.6490212196573435</v>
      </c>
    </row>
    <row r="34" spans="1:24" ht="16" x14ac:dyDescent="0.2">
      <c r="A34" s="27" t="s">
        <v>44</v>
      </c>
      <c r="B34" s="31">
        <f t="shared" si="47"/>
        <v>0.82538743547194904</v>
      </c>
      <c r="C34" s="31">
        <f t="shared" si="48"/>
        <v>0.88263221596951558</v>
      </c>
      <c r="D34" s="31">
        <f t="shared" si="49"/>
        <v>0.95701305069391707</v>
      </c>
      <c r="E34" s="31">
        <f t="shared" si="50"/>
        <v>0.70467545861417746</v>
      </c>
      <c r="F34" s="31">
        <f t="shared" si="51"/>
        <v>0.64015835458069736</v>
      </c>
      <c r="G34" s="50">
        <f t="shared" si="52"/>
        <v>-7.493861958689095E-2</v>
      </c>
      <c r="H34" s="32">
        <f t="shared" si="46"/>
        <v>0.88834423404512719</v>
      </c>
      <c r="I34" s="32">
        <f t="shared" si="53"/>
        <v>0.42329839786932805</v>
      </c>
      <c r="X34" s="106"/>
    </row>
    <row r="35" spans="1:24" ht="16" x14ac:dyDescent="0.2">
      <c r="A35" s="27" t="s">
        <v>45</v>
      </c>
      <c r="B35" s="31">
        <f t="shared" si="47"/>
        <v>0.94453193549956393</v>
      </c>
      <c r="C35" s="31">
        <f t="shared" si="48"/>
        <v>0.73317137100544605</v>
      </c>
      <c r="D35" s="31">
        <f t="shared" si="49"/>
        <v>0.87339620778489746</v>
      </c>
      <c r="E35" s="31">
        <f t="shared" si="50"/>
        <v>0.95762702739486483</v>
      </c>
      <c r="F35" s="31">
        <f t="shared" si="51"/>
        <v>0.5822091076633481</v>
      </c>
      <c r="G35" s="31">
        <f t="shared" si="52"/>
        <v>0.31179386800820585</v>
      </c>
      <c r="H35" s="32">
        <f t="shared" si="46"/>
        <v>0.85036650476330244</v>
      </c>
      <c r="I35" s="32">
        <f t="shared" si="53"/>
        <v>0.61721000102213963</v>
      </c>
    </row>
  </sheetData>
  <autoFilter ref="A1:AC7" xr:uid="{B02FFAE9-DB62-49B9-9B13-623518413870}"/>
  <mergeCells count="6">
    <mergeCell ref="AB27:AC27"/>
    <mergeCell ref="AG1:AH1"/>
    <mergeCell ref="AK21:AL21"/>
    <mergeCell ref="AK22:AL22"/>
    <mergeCell ref="AK23:AL23"/>
    <mergeCell ref="AK24:AL24"/>
  </mergeCells>
  <conditionalFormatting sqref="H22:H25 H27:H35">
    <cfRule type="cellIs" dxfId="2" priority="2" operator="between">
      <formula>0.8</formula>
      <formula>0.9</formula>
    </cfRule>
    <cfRule type="cellIs" dxfId="1" priority="4" operator="greaterThan">
      <formula>0.9</formula>
    </cfRule>
  </conditionalFormatting>
  <conditionalFormatting sqref="I22:I25 I27:I35">
    <cfRule type="colorScale" priority="3">
      <colorScale>
        <cfvo type="min"/>
        <cfvo type="percentile" val="50"/>
        <cfvo type="max"/>
        <color rgb="FFF8696B"/>
        <color rgb="FFFFEB84"/>
        <color rgb="FF63BE7B"/>
      </colorScale>
    </cfRule>
  </conditionalFormatting>
  <conditionalFormatting sqref="H22:H24 H27:H35">
    <cfRule type="cellIs" dxfId="0" priority="1" operator="lessThan">
      <formula>80%</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E5E84-837F-4AB4-94FF-2BD2DC777C4D}">
  <dimension ref="A1:D14"/>
  <sheetViews>
    <sheetView tabSelected="1" zoomScale="115" zoomScaleNormal="115" workbookViewId="0">
      <selection activeCell="C13" sqref="A1:C13"/>
    </sheetView>
  </sheetViews>
  <sheetFormatPr baseColWidth="10" defaultColWidth="0" defaultRowHeight="15" zeroHeight="1" x14ac:dyDescent="0.2"/>
  <cols>
    <col min="1" max="1" width="16.6640625" customWidth="1"/>
    <col min="2" max="2" width="15.5" customWidth="1"/>
    <col min="3" max="3" width="34.5" customWidth="1"/>
    <col min="4" max="4" width="9.1640625" customWidth="1"/>
    <col min="5" max="16384" width="9.1640625" hidden="1"/>
  </cols>
  <sheetData>
    <row r="1" spans="1:3" ht="16" x14ac:dyDescent="0.2">
      <c r="A1" s="2" t="s">
        <v>410</v>
      </c>
      <c r="B1" s="2" t="s">
        <v>411</v>
      </c>
      <c r="C1" s="2" t="s">
        <v>412</v>
      </c>
    </row>
    <row r="2" spans="1:3" ht="45" x14ac:dyDescent="0.2">
      <c r="A2" s="105" t="s">
        <v>31</v>
      </c>
      <c r="B2" s="105" t="s">
        <v>414</v>
      </c>
      <c r="C2" s="162" t="s">
        <v>427</v>
      </c>
    </row>
    <row r="3" spans="1:3" ht="30" customHeight="1" x14ac:dyDescent="0.2">
      <c r="A3" s="105" t="s">
        <v>32</v>
      </c>
      <c r="B3" s="105" t="s">
        <v>417</v>
      </c>
      <c r="C3" s="105" t="s">
        <v>418</v>
      </c>
    </row>
    <row r="4" spans="1:3" ht="30" customHeight="1" x14ac:dyDescent="0.2">
      <c r="A4" s="105" t="s">
        <v>434</v>
      </c>
      <c r="B4" s="105" t="s">
        <v>426</v>
      </c>
      <c r="C4" s="105" t="s">
        <v>428</v>
      </c>
    </row>
    <row r="5" spans="1:3" ht="30" customHeight="1" x14ac:dyDescent="0.2">
      <c r="A5" s="105" t="s">
        <v>34</v>
      </c>
      <c r="B5" s="105" t="s">
        <v>423</v>
      </c>
      <c r="C5" s="105" t="s">
        <v>424</v>
      </c>
    </row>
    <row r="6" spans="1:3" ht="44.25" customHeight="1" x14ac:dyDescent="0.2">
      <c r="A6" s="105" t="s">
        <v>38</v>
      </c>
      <c r="B6" s="105" t="s">
        <v>425</v>
      </c>
      <c r="C6" s="105" t="s">
        <v>435</v>
      </c>
    </row>
    <row r="7" spans="1:3" ht="30" customHeight="1" x14ac:dyDescent="0.2">
      <c r="A7" s="105" t="s">
        <v>39</v>
      </c>
      <c r="B7" s="105" t="s">
        <v>420</v>
      </c>
      <c r="C7" s="105" t="s">
        <v>421</v>
      </c>
    </row>
    <row r="8" spans="1:3" ht="32" x14ac:dyDescent="0.2">
      <c r="A8" s="105" t="s">
        <v>40</v>
      </c>
      <c r="B8" s="105" t="s">
        <v>429</v>
      </c>
      <c r="C8" s="105" t="s">
        <v>436</v>
      </c>
    </row>
    <row r="9" spans="1:3" ht="30" customHeight="1" x14ac:dyDescent="0.2">
      <c r="A9" s="105" t="s">
        <v>41</v>
      </c>
      <c r="B9" s="105" t="s">
        <v>432</v>
      </c>
      <c r="C9" s="105" t="s">
        <v>433</v>
      </c>
    </row>
    <row r="10" spans="1:3" ht="30" customHeight="1" x14ac:dyDescent="0.2">
      <c r="A10" s="105" t="s">
        <v>42</v>
      </c>
      <c r="B10" s="105" t="s">
        <v>419</v>
      </c>
      <c r="C10" s="105" t="s">
        <v>422</v>
      </c>
    </row>
    <row r="11" spans="1:3" ht="30" customHeight="1" x14ac:dyDescent="0.2">
      <c r="A11" s="105" t="s">
        <v>43</v>
      </c>
      <c r="B11" s="105" t="s">
        <v>362</v>
      </c>
      <c r="C11" s="105" t="s">
        <v>415</v>
      </c>
    </row>
    <row r="12" spans="1:3" ht="48" x14ac:dyDescent="0.2">
      <c r="A12" s="105" t="s">
        <v>44</v>
      </c>
      <c r="B12" s="105" t="s">
        <v>416</v>
      </c>
      <c r="C12" s="105" t="s">
        <v>430</v>
      </c>
    </row>
    <row r="13" spans="1:3" ht="30" customHeight="1" x14ac:dyDescent="0.2">
      <c r="A13" s="105" t="s">
        <v>45</v>
      </c>
      <c r="B13" s="105" t="s">
        <v>413</v>
      </c>
      <c r="C13" s="105" t="s">
        <v>431</v>
      </c>
    </row>
    <row r="14" spans="1:3"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38A0-66E8-4BFC-A074-9012C638F8D3}">
  <dimension ref="A1:Q88"/>
  <sheetViews>
    <sheetView zoomScale="130" zoomScaleNormal="130" workbookViewId="0">
      <selection sqref="A1:B1"/>
    </sheetView>
  </sheetViews>
  <sheetFormatPr baseColWidth="10" defaultColWidth="8.83203125" defaultRowHeight="15" x14ac:dyDescent="0.2"/>
  <cols>
    <col min="1" max="1" width="11.83203125" customWidth="1"/>
    <col min="2" max="2" width="5.33203125" bestFit="1" customWidth="1"/>
    <col min="3" max="3" width="17.6640625" customWidth="1"/>
    <col min="6" max="6" width="12.83203125" bestFit="1" customWidth="1"/>
    <col min="11" max="11" width="14.5" bestFit="1" customWidth="1"/>
    <col min="17" max="17" width="11.6640625" bestFit="1" customWidth="1"/>
  </cols>
  <sheetData>
    <row r="1" spans="1:15" x14ac:dyDescent="0.2">
      <c r="A1" s="187" t="s">
        <v>60</v>
      </c>
      <c r="B1" s="187"/>
      <c r="C1" s="58"/>
    </row>
    <row r="2" spans="1:15" x14ac:dyDescent="0.2">
      <c r="A2" s="192">
        <f>'Allocation &amp; CF'!AC25</f>
        <v>571088.92493033363</v>
      </c>
      <c r="B2" s="192"/>
      <c r="C2" s="58"/>
    </row>
    <row r="3" spans="1:15" x14ac:dyDescent="0.2">
      <c r="A3" s="60">
        <f>SUM(A9,A16,A28,A46,A67,A83,A56,A77,A88)</f>
        <v>511717.23380830593</v>
      </c>
      <c r="B3" s="69" t="s">
        <v>67</v>
      </c>
      <c r="C3" s="67">
        <f>A2-A3</f>
        <v>59371.691122027696</v>
      </c>
    </row>
    <row r="4" spans="1:15" x14ac:dyDescent="0.2">
      <c r="A4" s="60"/>
      <c r="B4" s="68" t="s">
        <v>68</v>
      </c>
      <c r="C4" s="58"/>
    </row>
    <row r="5" spans="1:15" x14ac:dyDescent="0.2">
      <c r="A5" s="193" t="s">
        <v>69</v>
      </c>
      <c r="B5" s="193"/>
      <c r="C5" s="193"/>
    </row>
    <row r="6" spans="1:15" x14ac:dyDescent="0.2">
      <c r="A6" s="60">
        <f t="shared" ref="A6:A87" si="0">IFERROR(IF(B6="Y",C6,""),"")</f>
        <v>2000</v>
      </c>
      <c r="B6" s="58" t="s">
        <v>70</v>
      </c>
      <c r="C6" s="59">
        <v>2000</v>
      </c>
      <c r="D6" t="s">
        <v>71</v>
      </c>
    </row>
    <row r="7" spans="1:15" x14ac:dyDescent="0.2">
      <c r="A7" s="60">
        <f t="shared" si="0"/>
        <v>8000</v>
      </c>
      <c r="B7" s="58" t="s">
        <v>70</v>
      </c>
      <c r="C7" s="59">
        <v>8000</v>
      </c>
      <c r="D7" t="s">
        <v>72</v>
      </c>
    </row>
    <row r="8" spans="1:15" x14ac:dyDescent="0.2">
      <c r="A8" s="60">
        <f t="shared" si="0"/>
        <v>30000</v>
      </c>
      <c r="B8" s="58" t="s">
        <v>70</v>
      </c>
      <c r="C8" s="59">
        <v>30000</v>
      </c>
      <c r="D8" t="s">
        <v>73</v>
      </c>
      <c r="E8" s="53"/>
      <c r="F8" s="53"/>
    </row>
    <row r="9" spans="1:15" x14ac:dyDescent="0.2">
      <c r="A9" s="60">
        <f>SUM(A6:A8)</f>
        <v>40000</v>
      </c>
      <c r="B9" s="58" t="s">
        <v>74</v>
      </c>
      <c r="C9" s="58"/>
    </row>
    <row r="10" spans="1:15" x14ac:dyDescent="0.2">
      <c r="A10" s="191" t="s">
        <v>45</v>
      </c>
      <c r="B10" s="191"/>
      <c r="C10" s="191"/>
      <c r="K10" t="s">
        <v>75</v>
      </c>
      <c r="L10" t="s">
        <v>76</v>
      </c>
      <c r="M10" t="s">
        <v>77</v>
      </c>
      <c r="N10" t="s">
        <v>78</v>
      </c>
      <c r="O10" t="s">
        <v>79</v>
      </c>
    </row>
    <row r="11" spans="1:15" x14ac:dyDescent="0.2">
      <c r="A11" s="60">
        <f t="shared" si="0"/>
        <v>1800</v>
      </c>
      <c r="B11" s="58" t="s">
        <v>70</v>
      </c>
      <c r="C11" s="59">
        <v>1800</v>
      </c>
      <c r="D11" t="s">
        <v>80</v>
      </c>
      <c r="K11" t="s">
        <v>81</v>
      </c>
      <c r="L11" t="s">
        <v>82</v>
      </c>
      <c r="M11" t="s">
        <v>83</v>
      </c>
      <c r="N11" s="55">
        <v>14.17</v>
      </c>
      <c r="O11" t="s">
        <v>84</v>
      </c>
    </row>
    <row r="12" spans="1:15" x14ac:dyDescent="0.2">
      <c r="A12" s="60">
        <f t="shared" si="0"/>
        <v>1300</v>
      </c>
      <c r="B12" s="58" t="s">
        <v>70</v>
      </c>
      <c r="C12" s="59">
        <v>1300</v>
      </c>
      <c r="D12" t="s">
        <v>85</v>
      </c>
      <c r="K12" t="s">
        <v>86</v>
      </c>
      <c r="L12" t="s">
        <v>87</v>
      </c>
      <c r="M12" s="55">
        <v>10.5</v>
      </c>
      <c r="N12" s="55">
        <v>16.12</v>
      </c>
      <c r="O12" t="s">
        <v>88</v>
      </c>
    </row>
    <row r="13" spans="1:15" x14ac:dyDescent="0.2">
      <c r="A13" s="60">
        <f t="shared" si="0"/>
        <v>10000</v>
      </c>
      <c r="B13" s="58" t="s">
        <v>70</v>
      </c>
      <c r="C13" s="59">
        <v>10000</v>
      </c>
      <c r="D13" t="s">
        <v>89</v>
      </c>
      <c r="K13" t="s">
        <v>90</v>
      </c>
      <c r="L13" t="s">
        <v>91</v>
      </c>
      <c r="M13" s="55">
        <v>12.45</v>
      </c>
      <c r="N13" s="55">
        <v>18.07</v>
      </c>
      <c r="O13" t="s">
        <v>92</v>
      </c>
    </row>
    <row r="14" spans="1:15" x14ac:dyDescent="0.2">
      <c r="A14" s="60">
        <f t="shared" si="0"/>
        <v>6000</v>
      </c>
      <c r="B14" s="58" t="s">
        <v>70</v>
      </c>
      <c r="C14" s="59">
        <v>6000</v>
      </c>
      <c r="D14" t="s">
        <v>93</v>
      </c>
    </row>
    <row r="15" spans="1:15" x14ac:dyDescent="0.2">
      <c r="A15" s="60">
        <f t="shared" si="0"/>
        <v>7500</v>
      </c>
      <c r="B15" s="58" t="s">
        <v>70</v>
      </c>
      <c r="C15" s="59">
        <v>7500</v>
      </c>
      <c r="D15" t="s">
        <v>94</v>
      </c>
    </row>
    <row r="16" spans="1:15" x14ac:dyDescent="0.2">
      <c r="A16" s="60">
        <f>SUM(A11:A15)</f>
        <v>26600</v>
      </c>
      <c r="B16" s="58" t="s">
        <v>95</v>
      </c>
      <c r="C16" s="59"/>
    </row>
    <row r="17" spans="1:11" x14ac:dyDescent="0.2">
      <c r="A17" s="191" t="s">
        <v>96</v>
      </c>
      <c r="B17" s="191"/>
      <c r="C17" s="191"/>
      <c r="D17" t="s">
        <v>97</v>
      </c>
      <c r="E17" t="s">
        <v>98</v>
      </c>
    </row>
    <row r="18" spans="1:11" x14ac:dyDescent="0.2">
      <c r="A18" s="60" t="str">
        <f>IFERROR(IF(B18="Y",C21,""),"")</f>
        <v/>
      </c>
      <c r="B18" s="74"/>
      <c r="C18" s="59">
        <f>D18*E18</f>
        <v>72754.5</v>
      </c>
      <c r="D18" s="55">
        <v>10.5</v>
      </c>
      <c r="E18">
        <v>6929</v>
      </c>
      <c r="F18" t="s">
        <v>99</v>
      </c>
    </row>
    <row r="19" spans="1:11" x14ac:dyDescent="0.2">
      <c r="A19" s="60" t="str">
        <f>IFERROR(IF(B19="Y",C22,""),"")</f>
        <v/>
      </c>
      <c r="B19" s="74"/>
      <c r="C19" s="59">
        <f>D19*E19</f>
        <v>98183.93</v>
      </c>
      <c r="D19" s="55">
        <v>14.17</v>
      </c>
      <c r="E19">
        <v>6929</v>
      </c>
      <c r="G19" s="112" t="s">
        <v>100</v>
      </c>
      <c r="H19" s="112"/>
      <c r="I19" s="113">
        <v>0.159</v>
      </c>
      <c r="J19" s="112">
        <v>0.28070428600000003</v>
      </c>
    </row>
    <row r="20" spans="1:11" x14ac:dyDescent="0.2">
      <c r="A20" s="60">
        <f>IFERROR(IF(B20="Y",C23,""),"")</f>
        <v>8180.43</v>
      </c>
      <c r="B20" s="58" t="s">
        <v>70</v>
      </c>
      <c r="C20" s="59">
        <f>C19-C18</f>
        <v>25429.429999999993</v>
      </c>
      <c r="D20" s="55" t="s">
        <v>101</v>
      </c>
      <c r="G20" s="112" t="s">
        <v>102</v>
      </c>
      <c r="H20" s="112"/>
      <c r="I20" s="113">
        <v>4.0000000000000001E-3</v>
      </c>
      <c r="J20" s="112">
        <v>0.71929571400000003</v>
      </c>
    </row>
    <row r="21" spans="1:11" x14ac:dyDescent="0.2">
      <c r="A21" s="60" t="str">
        <f>IFERROR(IF(B21="Y",C18,""),"")</f>
        <v/>
      </c>
      <c r="B21" s="74"/>
      <c r="C21" s="59">
        <f>D21*E21</f>
        <v>25633.5</v>
      </c>
      <c r="D21" s="55">
        <v>11.5</v>
      </c>
      <c r="E21">
        <v>2229</v>
      </c>
      <c r="F21" t="s">
        <v>103</v>
      </c>
      <c r="G21" s="112"/>
      <c r="H21" s="112"/>
      <c r="I21" s="112"/>
      <c r="J21" s="112"/>
    </row>
    <row r="22" spans="1:11" x14ac:dyDescent="0.2">
      <c r="A22" s="60" t="str">
        <f>IFERROR(IF(B22="Y",C19,""),"")</f>
        <v/>
      </c>
      <c r="B22" s="74"/>
      <c r="C22" s="59">
        <f>D22*E22</f>
        <v>33813.93</v>
      </c>
      <c r="D22" s="55">
        <f>D19+1</f>
        <v>15.17</v>
      </c>
      <c r="E22">
        <f>2229</f>
        <v>2229</v>
      </c>
      <c r="G22" s="112" t="s">
        <v>104</v>
      </c>
      <c r="H22" s="112"/>
      <c r="I22" s="113">
        <v>0.159</v>
      </c>
      <c r="J22" s="112">
        <v>0.153432032</v>
      </c>
    </row>
    <row r="23" spans="1:11" x14ac:dyDescent="0.2">
      <c r="A23" s="60">
        <f>IFERROR(IF(B23="Y",C20,""),"")</f>
        <v>25429.429999999993</v>
      </c>
      <c r="B23" s="58" t="s">
        <v>70</v>
      </c>
      <c r="C23" s="59">
        <f>C22-C21</f>
        <v>8180.43</v>
      </c>
      <c r="D23" s="55" t="s">
        <v>101</v>
      </c>
      <c r="G23" s="112" t="s">
        <v>105</v>
      </c>
      <c r="H23" s="112"/>
      <c r="I23" s="113">
        <v>4.0000000000000001E-3</v>
      </c>
      <c r="J23" s="112">
        <v>0.846567968</v>
      </c>
    </row>
    <row r="24" spans="1:11" x14ac:dyDescent="0.2">
      <c r="A24" s="60" t="str">
        <f t="shared" si="0"/>
        <v/>
      </c>
      <c r="B24" s="74"/>
      <c r="C24" s="59">
        <f>C20+C23</f>
        <v>33609.859999999993</v>
      </c>
      <c r="D24" s="55" t="s">
        <v>106</v>
      </c>
      <c r="K24" t="s">
        <v>107</v>
      </c>
    </row>
    <row r="25" spans="1:11" x14ac:dyDescent="0.2">
      <c r="A25" s="60">
        <f t="shared" si="0"/>
        <v>1208.1309686882316</v>
      </c>
      <c r="B25" s="111" t="s">
        <v>70</v>
      </c>
      <c r="C25" s="59">
        <f>C20*I19*J19+C20*I20*J20</f>
        <v>1208.1309686882316</v>
      </c>
      <c r="D25" s="112" t="s">
        <v>108</v>
      </c>
      <c r="E25" s="112"/>
      <c r="I25" s="84"/>
      <c r="K25" s="112" t="s">
        <v>109</v>
      </c>
    </row>
    <row r="26" spans="1:11" x14ac:dyDescent="0.2">
      <c r="A26" s="60">
        <f t="shared" si="0"/>
        <v>227.2684196177328</v>
      </c>
      <c r="B26" s="111" t="s">
        <v>70</v>
      </c>
      <c r="C26" s="59">
        <f>C23*I22*J22+C23*I23*J23</f>
        <v>227.2684196177328</v>
      </c>
      <c r="D26" s="112" t="s">
        <v>110</v>
      </c>
      <c r="E26" s="112"/>
      <c r="K26" s="112" t="s">
        <v>111</v>
      </c>
    </row>
    <row r="27" spans="1:11" x14ac:dyDescent="0.2">
      <c r="A27" s="60" t="str">
        <f>IFERROR(IF(B27="Y",C27,""),"")</f>
        <v/>
      </c>
      <c r="B27" s="58" t="s">
        <v>112</v>
      </c>
      <c r="C27" s="59">
        <v>500000</v>
      </c>
      <c r="D27" t="s">
        <v>113</v>
      </c>
      <c r="K27" s="112"/>
    </row>
    <row r="28" spans="1:11" x14ac:dyDescent="0.2">
      <c r="A28" s="60">
        <f>SUM(A18:A27)</f>
        <v>35045.25938830596</v>
      </c>
      <c r="B28" s="58" t="s">
        <v>114</v>
      </c>
      <c r="C28" s="61"/>
      <c r="D28" s="55"/>
    </row>
    <row r="29" spans="1:11" x14ac:dyDescent="0.2">
      <c r="A29" s="191" t="s">
        <v>32</v>
      </c>
      <c r="B29" s="191"/>
      <c r="C29" s="191"/>
      <c r="D29" s="54" t="s">
        <v>97</v>
      </c>
      <c r="E29" s="54" t="s">
        <v>98</v>
      </c>
      <c r="F29" s="54"/>
      <c r="G29" s="54"/>
    </row>
    <row r="30" spans="1:11" x14ac:dyDescent="0.2">
      <c r="A30" s="60">
        <f t="shared" si="0"/>
        <v>29325</v>
      </c>
      <c r="B30" s="58" t="s">
        <v>70</v>
      </c>
      <c r="C30" s="59">
        <f>10*34*D30*I31</f>
        <v>29325</v>
      </c>
      <c r="D30" s="55">
        <v>11.5</v>
      </c>
      <c r="E30" t="s">
        <v>115</v>
      </c>
    </row>
    <row r="31" spans="1:11" x14ac:dyDescent="0.2">
      <c r="A31" s="60" t="str">
        <f t="shared" si="0"/>
        <v/>
      </c>
      <c r="B31" s="74"/>
      <c r="C31" s="59">
        <f>10*34*15.17*I31</f>
        <v>38683.5</v>
      </c>
      <c r="D31" t="s">
        <v>116</v>
      </c>
      <c r="E31" s="108">
        <f>F31/H31/D30</f>
        <v>340</v>
      </c>
      <c r="F31" s="57">
        <f>10*34*11.5*H31</f>
        <v>19550</v>
      </c>
      <c r="G31" t="s">
        <v>117</v>
      </c>
      <c r="H31">
        <v>5</v>
      </c>
      <c r="I31">
        <v>7.5</v>
      </c>
      <c r="J31">
        <v>10</v>
      </c>
    </row>
    <row r="32" spans="1:11" x14ac:dyDescent="0.2">
      <c r="A32" s="60">
        <f t="shared" si="0"/>
        <v>9358.5</v>
      </c>
      <c r="B32" s="58" t="s">
        <v>70</v>
      </c>
      <c r="C32" s="59">
        <f>C31-C30</f>
        <v>9358.5</v>
      </c>
      <c r="D32" t="s">
        <v>101</v>
      </c>
      <c r="G32" s="112"/>
      <c r="H32" s="112"/>
      <c r="I32" s="113"/>
    </row>
    <row r="33" spans="1:10" x14ac:dyDescent="0.2">
      <c r="A33" s="60">
        <f>IFERROR(IF(B33="Y",C33,""),"")</f>
        <v>154.73400000000001</v>
      </c>
      <c r="B33" s="58" t="s">
        <v>70</v>
      </c>
      <c r="C33" s="59">
        <f>C31*I33</f>
        <v>154.73400000000001</v>
      </c>
      <c r="D33" s="112" t="s">
        <v>110</v>
      </c>
      <c r="G33" s="112" t="s">
        <v>118</v>
      </c>
      <c r="H33" s="112"/>
      <c r="I33" s="113">
        <v>4.0000000000000001E-3</v>
      </c>
    </row>
    <row r="34" spans="1:10" x14ac:dyDescent="0.2">
      <c r="A34" s="60"/>
      <c r="B34" s="58" t="s">
        <v>112</v>
      </c>
      <c r="C34" s="59">
        <v>28000</v>
      </c>
      <c r="D34" t="s">
        <v>119</v>
      </c>
    </row>
    <row r="35" spans="1:10" x14ac:dyDescent="0.2">
      <c r="A35" s="60" t="str">
        <f t="shared" si="0"/>
        <v/>
      </c>
      <c r="B35" s="74"/>
      <c r="C35" s="59">
        <v>-21500</v>
      </c>
      <c r="D35" s="54" t="s">
        <v>120</v>
      </c>
      <c r="E35" t="s">
        <v>121</v>
      </c>
    </row>
    <row r="36" spans="1:10" x14ac:dyDescent="0.2">
      <c r="A36" s="60">
        <f t="shared" si="0"/>
        <v>38632</v>
      </c>
      <c r="B36" s="58" t="s">
        <v>70</v>
      </c>
      <c r="C36" s="59">
        <v>38632</v>
      </c>
      <c r="D36" t="s">
        <v>122</v>
      </c>
    </row>
    <row r="37" spans="1:10" x14ac:dyDescent="0.2">
      <c r="A37" s="60" t="str">
        <f t="shared" si="0"/>
        <v/>
      </c>
      <c r="B37" s="74"/>
      <c r="C37" s="59">
        <f>D37*E37</f>
        <v>89082</v>
      </c>
      <c r="D37" s="55">
        <v>10.5</v>
      </c>
      <c r="E37">
        <f>6324+2160</f>
        <v>8484</v>
      </c>
      <c r="F37" t="s">
        <v>98</v>
      </c>
      <c r="G37" t="s">
        <v>123</v>
      </c>
    </row>
    <row r="38" spans="1:10" x14ac:dyDescent="0.2">
      <c r="A38" s="60" t="str">
        <f t="shared" si="0"/>
        <v/>
      </c>
      <c r="B38" s="74"/>
      <c r="C38" s="59">
        <f>D38*E38</f>
        <v>120218.28</v>
      </c>
      <c r="D38" s="55">
        <f>N11</f>
        <v>14.17</v>
      </c>
      <c r="E38">
        <f>6324+2160</f>
        <v>8484</v>
      </c>
      <c r="G38" s="112" t="s">
        <v>124</v>
      </c>
      <c r="H38" s="112"/>
      <c r="I38" s="113">
        <v>0.159</v>
      </c>
      <c r="J38" s="112">
        <f>2160/E38</f>
        <v>0.25459688826025462</v>
      </c>
    </row>
    <row r="39" spans="1:10" x14ac:dyDescent="0.2">
      <c r="A39" s="60">
        <f t="shared" si="0"/>
        <v>31136.28</v>
      </c>
      <c r="B39" s="58" t="s">
        <v>70</v>
      </c>
      <c r="C39" s="59">
        <f>C38-C37</f>
        <v>31136.28</v>
      </c>
      <c r="D39" s="55" t="s">
        <v>101</v>
      </c>
      <c r="G39" s="112" t="s">
        <v>125</v>
      </c>
      <c r="H39" s="112"/>
      <c r="I39" s="113">
        <v>4.0000000000000001E-3</v>
      </c>
      <c r="J39" s="112">
        <f>6324/E38</f>
        <v>0.74540311173974538</v>
      </c>
    </row>
    <row r="40" spans="1:10" x14ac:dyDescent="0.2">
      <c r="A40" s="60" t="str">
        <f t="shared" si="0"/>
        <v/>
      </c>
      <c r="B40" s="74"/>
      <c r="C40" s="59">
        <f>D40*E40</f>
        <v>19550</v>
      </c>
      <c r="D40" s="55">
        <v>11.5</v>
      </c>
      <c r="E40">
        <f>1020+680</f>
        <v>1700</v>
      </c>
      <c r="F40" t="s">
        <v>98</v>
      </c>
      <c r="G40" t="s">
        <v>126</v>
      </c>
    </row>
    <row r="41" spans="1:10" x14ac:dyDescent="0.2">
      <c r="A41" s="60" t="str">
        <f t="shared" si="0"/>
        <v/>
      </c>
      <c r="B41" s="74"/>
      <c r="C41" s="59">
        <f>D41*E41</f>
        <v>25789</v>
      </c>
      <c r="D41" s="55">
        <f>D38+1</f>
        <v>15.17</v>
      </c>
      <c r="E41">
        <f>1020+680</f>
        <v>1700</v>
      </c>
      <c r="F41" s="55"/>
      <c r="G41" s="112" t="s">
        <v>127</v>
      </c>
      <c r="H41" s="112"/>
      <c r="I41" s="113">
        <v>4.0000000000000001E-3</v>
      </c>
      <c r="J41" s="112"/>
    </row>
    <row r="42" spans="1:10" x14ac:dyDescent="0.2">
      <c r="A42" s="60">
        <f t="shared" si="0"/>
        <v>6239</v>
      </c>
      <c r="B42" s="58" t="s">
        <v>70</v>
      </c>
      <c r="C42" s="59">
        <f>C41-C40</f>
        <v>6239</v>
      </c>
      <c r="D42" s="55" t="s">
        <v>101</v>
      </c>
    </row>
    <row r="43" spans="1:10" x14ac:dyDescent="0.2">
      <c r="A43" s="60">
        <f t="shared" ref="A43:A44" si="1">IFERROR(IF(B43="Y",C43,""),"")</f>
        <v>1353.2611200000001</v>
      </c>
      <c r="B43" s="111" t="s">
        <v>70</v>
      </c>
      <c r="C43" s="59">
        <f>C39*I38*J38+C39*I39*J39</f>
        <v>1353.2611200000001</v>
      </c>
      <c r="D43" s="112" t="s">
        <v>108</v>
      </c>
    </row>
    <row r="44" spans="1:10" x14ac:dyDescent="0.2">
      <c r="A44" s="60">
        <f t="shared" si="1"/>
        <v>24.956</v>
      </c>
      <c r="B44" s="111" t="s">
        <v>70</v>
      </c>
      <c r="C44" s="59">
        <f>C42*I41</f>
        <v>24.956</v>
      </c>
      <c r="D44" s="112" t="s">
        <v>110</v>
      </c>
    </row>
    <row r="45" spans="1:10" x14ac:dyDescent="0.2">
      <c r="A45" s="60" t="str">
        <f>IFERROR(IF(B45="Y",C45,""),"")</f>
        <v/>
      </c>
      <c r="B45" s="58" t="s">
        <v>112</v>
      </c>
      <c r="C45" s="59">
        <v>10800</v>
      </c>
      <c r="D45" t="s">
        <v>407</v>
      </c>
    </row>
    <row r="46" spans="1:10" x14ac:dyDescent="0.2">
      <c r="A46" s="60">
        <f>SUM(A30:A45)</f>
        <v>116223.73112</v>
      </c>
      <c r="B46" s="58" t="s">
        <v>128</v>
      </c>
      <c r="C46" s="58"/>
    </row>
    <row r="47" spans="1:10" x14ac:dyDescent="0.2">
      <c r="A47" s="191" t="s">
        <v>129</v>
      </c>
      <c r="B47" s="191"/>
      <c r="C47" s="191"/>
      <c r="D47" t="s">
        <v>97</v>
      </c>
      <c r="E47" t="s">
        <v>98</v>
      </c>
    </row>
    <row r="48" spans="1:10" x14ac:dyDescent="0.2">
      <c r="A48" s="60" t="str">
        <f t="shared" ref="A48:A53" si="2">IFERROR(IF(B48="Y",C48,""),"")</f>
        <v/>
      </c>
      <c r="B48" s="74"/>
      <c r="C48" s="59">
        <f>D48*E48</f>
        <v>27562.5</v>
      </c>
      <c r="D48" s="55">
        <v>10.5</v>
      </c>
      <c r="E48">
        <f>5*15*35</f>
        <v>2625</v>
      </c>
      <c r="F48" t="s">
        <v>98</v>
      </c>
      <c r="G48" t="s">
        <v>130</v>
      </c>
    </row>
    <row r="49" spans="1:9" x14ac:dyDescent="0.2">
      <c r="A49" s="60" t="str">
        <f t="shared" si="2"/>
        <v/>
      </c>
      <c r="B49" s="74"/>
      <c r="C49" s="59">
        <f>D49*E49</f>
        <v>37196.25</v>
      </c>
      <c r="D49" s="55">
        <f>N11</f>
        <v>14.17</v>
      </c>
      <c r="E49">
        <f>5*15*35</f>
        <v>2625</v>
      </c>
      <c r="G49" s="112" t="s">
        <v>131</v>
      </c>
      <c r="H49" s="112"/>
      <c r="I49" s="113">
        <v>4.0000000000000001E-3</v>
      </c>
    </row>
    <row r="50" spans="1:9" x14ac:dyDescent="0.2">
      <c r="A50" s="60">
        <f t="shared" si="2"/>
        <v>9633.75</v>
      </c>
      <c r="B50" s="58" t="s">
        <v>70</v>
      </c>
      <c r="C50" s="59">
        <f>C49-C48</f>
        <v>9633.75</v>
      </c>
      <c r="D50" s="55" t="s">
        <v>101</v>
      </c>
    </row>
    <row r="51" spans="1:9" x14ac:dyDescent="0.2">
      <c r="A51" s="60" t="str">
        <f t="shared" si="2"/>
        <v/>
      </c>
      <c r="B51" s="74"/>
      <c r="C51" s="59">
        <f>D51*E51</f>
        <v>30240</v>
      </c>
      <c r="D51" s="55">
        <v>12</v>
      </c>
      <c r="E51">
        <f>6*12*35</f>
        <v>2520</v>
      </c>
      <c r="F51" t="s">
        <v>98</v>
      </c>
      <c r="G51" t="s">
        <v>132</v>
      </c>
    </row>
    <row r="52" spans="1:9" x14ac:dyDescent="0.2">
      <c r="A52" s="60" t="str">
        <f t="shared" si="2"/>
        <v/>
      </c>
      <c r="B52" s="74"/>
      <c r="C52" s="59">
        <f>D52*E52</f>
        <v>39488.400000000001</v>
      </c>
      <c r="D52" s="55">
        <f>D49+1.5</f>
        <v>15.67</v>
      </c>
      <c r="E52">
        <f>6*12*35</f>
        <v>2520</v>
      </c>
      <c r="F52" s="75"/>
      <c r="G52" s="112" t="s">
        <v>133</v>
      </c>
      <c r="H52" s="112"/>
      <c r="I52" s="113">
        <v>4.0000000000000001E-3</v>
      </c>
    </row>
    <row r="53" spans="1:9" x14ac:dyDescent="0.2">
      <c r="A53" s="60">
        <f t="shared" si="2"/>
        <v>9248.4000000000015</v>
      </c>
      <c r="B53" s="58" t="s">
        <v>70</v>
      </c>
      <c r="C53" s="59">
        <f>C52-C51</f>
        <v>9248.4000000000015</v>
      </c>
      <c r="D53" s="55" t="s">
        <v>101</v>
      </c>
    </row>
    <row r="54" spans="1:9" x14ac:dyDescent="0.2">
      <c r="A54" s="60">
        <f>IFERROR(IF(B54="Y",C54,""),"")</f>
        <v>38.535000000000004</v>
      </c>
      <c r="B54" s="111" t="s">
        <v>70</v>
      </c>
      <c r="C54" s="59">
        <f>C50*I49</f>
        <v>38.535000000000004</v>
      </c>
      <c r="D54" s="112" t="s">
        <v>134</v>
      </c>
    </row>
    <row r="55" spans="1:9" x14ac:dyDescent="0.2">
      <c r="A55" s="60">
        <f>IFERROR(IF(B55="Y",C55,""),"")</f>
        <v>36.993600000000008</v>
      </c>
      <c r="B55" s="111" t="s">
        <v>70</v>
      </c>
      <c r="C55" s="59">
        <f>C53*I52</f>
        <v>36.993600000000008</v>
      </c>
      <c r="D55" s="112" t="s">
        <v>110</v>
      </c>
    </row>
    <row r="56" spans="1:9" x14ac:dyDescent="0.2">
      <c r="A56" s="60">
        <f>SUM(A48:A55)</f>
        <v>18957.678600000003</v>
      </c>
      <c r="B56" s="58" t="s">
        <v>291</v>
      </c>
      <c r="C56" s="58"/>
      <c r="D56" s="112"/>
    </row>
    <row r="57" spans="1:9" x14ac:dyDescent="0.2">
      <c r="A57" s="191" t="s">
        <v>43</v>
      </c>
      <c r="B57" s="191"/>
      <c r="C57" s="191"/>
    </row>
    <row r="58" spans="1:9" x14ac:dyDescent="0.2">
      <c r="A58" s="60">
        <f t="shared" si="0"/>
        <v>10000</v>
      </c>
      <c r="B58" s="58" t="s">
        <v>70</v>
      </c>
      <c r="C58" s="59">
        <v>10000</v>
      </c>
      <c r="D58" t="s">
        <v>135</v>
      </c>
    </row>
    <row r="59" spans="1:9" x14ac:dyDescent="0.2">
      <c r="A59" s="60">
        <f t="shared" si="0"/>
        <v>11000</v>
      </c>
      <c r="B59" s="58" t="s">
        <v>70</v>
      </c>
      <c r="C59" s="59">
        <v>11000</v>
      </c>
      <c r="D59" t="s">
        <v>136</v>
      </c>
    </row>
    <row r="60" spans="1:9" x14ac:dyDescent="0.2">
      <c r="A60" s="60">
        <f t="shared" si="0"/>
        <v>43000</v>
      </c>
      <c r="B60" s="58" t="s">
        <v>70</v>
      </c>
      <c r="C60" s="59">
        <v>43000</v>
      </c>
      <c r="D60" t="s">
        <v>406</v>
      </c>
    </row>
    <row r="61" spans="1:9" x14ac:dyDescent="0.2">
      <c r="A61" s="60">
        <f t="shared" si="0"/>
        <v>3000</v>
      </c>
      <c r="B61" s="58" t="s">
        <v>70</v>
      </c>
      <c r="C61" s="59">
        <v>3000</v>
      </c>
      <c r="D61" t="s">
        <v>137</v>
      </c>
    </row>
    <row r="62" spans="1:9" x14ac:dyDescent="0.2">
      <c r="A62" s="60">
        <f t="shared" si="0"/>
        <v>7000</v>
      </c>
      <c r="B62" s="58" t="s">
        <v>70</v>
      </c>
      <c r="C62" s="59">
        <v>7000</v>
      </c>
      <c r="D62" t="s">
        <v>138</v>
      </c>
    </row>
    <row r="63" spans="1:9" x14ac:dyDescent="0.2">
      <c r="A63" s="60">
        <f t="shared" si="0"/>
        <v>15000</v>
      </c>
      <c r="B63" s="58" t="s">
        <v>70</v>
      </c>
      <c r="C63" s="59">
        <v>15000</v>
      </c>
      <c r="D63" t="s">
        <v>139</v>
      </c>
    </row>
    <row r="64" spans="1:9" x14ac:dyDescent="0.2">
      <c r="A64" s="60">
        <f t="shared" si="0"/>
        <v>8000</v>
      </c>
      <c r="B64" s="58" t="s">
        <v>70</v>
      </c>
      <c r="C64" s="59">
        <v>8000</v>
      </c>
      <c r="D64" t="s">
        <v>140</v>
      </c>
    </row>
    <row r="65" spans="1:17" x14ac:dyDescent="0.2">
      <c r="A65" s="60">
        <f t="shared" si="0"/>
        <v>8000</v>
      </c>
      <c r="B65" s="58" t="s">
        <v>70</v>
      </c>
      <c r="C65" s="59">
        <v>8000</v>
      </c>
      <c r="D65" t="s">
        <v>141</v>
      </c>
    </row>
    <row r="66" spans="1:17" x14ac:dyDescent="0.2">
      <c r="A66" s="60">
        <f t="shared" si="0"/>
        <v>15000</v>
      </c>
      <c r="B66" s="58" t="s">
        <v>70</v>
      </c>
      <c r="C66" s="59">
        <v>15000</v>
      </c>
      <c r="D66" t="s">
        <v>408</v>
      </c>
    </row>
    <row r="67" spans="1:17" x14ac:dyDescent="0.2">
      <c r="A67" s="60">
        <f>SUM(A58:A66)</f>
        <v>120000</v>
      </c>
      <c r="B67" s="58" t="s">
        <v>142</v>
      </c>
      <c r="C67" s="58"/>
    </row>
    <row r="68" spans="1:17" x14ac:dyDescent="0.2">
      <c r="A68" s="191" t="s">
        <v>143</v>
      </c>
      <c r="B68" s="191"/>
      <c r="C68" s="191"/>
      <c r="D68" t="s">
        <v>97</v>
      </c>
      <c r="E68" t="s">
        <v>98</v>
      </c>
    </row>
    <row r="69" spans="1:17" x14ac:dyDescent="0.2">
      <c r="A69" s="60" t="str">
        <f t="shared" ref="A69:A76" si="3">IFERROR(IF(B69="Y",C69,""),"")</f>
        <v/>
      </c>
      <c r="B69" s="74"/>
      <c r="C69" s="61">
        <f>D69*E69</f>
        <v>11844</v>
      </c>
      <c r="D69" s="55">
        <v>10.5</v>
      </c>
      <c r="E69">
        <f>408+720</f>
        <v>1128</v>
      </c>
      <c r="F69" t="s">
        <v>144</v>
      </c>
    </row>
    <row r="70" spans="1:17" x14ac:dyDescent="0.2">
      <c r="A70" s="60" t="str">
        <f t="shared" si="3"/>
        <v/>
      </c>
      <c r="B70" s="74"/>
      <c r="C70" s="61">
        <f>D70*E70</f>
        <v>15983.76</v>
      </c>
      <c r="D70" s="55">
        <f>N11</f>
        <v>14.17</v>
      </c>
      <c r="E70">
        <f>408+720</f>
        <v>1128</v>
      </c>
      <c r="F70" t="s">
        <v>145</v>
      </c>
      <c r="G70" t="s">
        <v>146</v>
      </c>
      <c r="H70" s="113"/>
      <c r="I70" s="113">
        <v>4.0000000000000001E-3</v>
      </c>
    </row>
    <row r="71" spans="1:17" x14ac:dyDescent="0.2">
      <c r="A71" s="60">
        <f t="shared" si="3"/>
        <v>4139.76</v>
      </c>
      <c r="B71" s="58" t="s">
        <v>70</v>
      </c>
      <c r="C71" s="61">
        <f>C70-C69</f>
        <v>4139.76</v>
      </c>
      <c r="D71" s="55" t="s">
        <v>147</v>
      </c>
    </row>
    <row r="72" spans="1:17" x14ac:dyDescent="0.2">
      <c r="A72" s="60" t="str">
        <f t="shared" si="3"/>
        <v/>
      </c>
      <c r="B72" s="74"/>
      <c r="C72" s="61">
        <f>D72*E72</f>
        <v>3910</v>
      </c>
      <c r="D72" s="55">
        <v>11.5</v>
      </c>
      <c r="E72">
        <v>340</v>
      </c>
      <c r="F72" t="s">
        <v>148</v>
      </c>
    </row>
    <row r="73" spans="1:17" x14ac:dyDescent="0.2">
      <c r="A73" s="60" t="str">
        <f t="shared" si="3"/>
        <v/>
      </c>
      <c r="B73" s="74"/>
      <c r="C73" s="61">
        <f>D73*E73</f>
        <v>5157.8</v>
      </c>
      <c r="D73" s="55">
        <f>D70+1</f>
        <v>15.17</v>
      </c>
      <c r="E73">
        <v>340</v>
      </c>
      <c r="F73" t="s">
        <v>149</v>
      </c>
      <c r="G73" t="s">
        <v>146</v>
      </c>
      <c r="H73" s="113"/>
      <c r="I73" s="113">
        <v>4.0000000000000001E-3</v>
      </c>
    </row>
    <row r="74" spans="1:17" x14ac:dyDescent="0.2">
      <c r="A74" s="60">
        <f t="shared" si="3"/>
        <v>1247.8000000000002</v>
      </c>
      <c r="B74" s="58" t="s">
        <v>70</v>
      </c>
      <c r="C74" s="59">
        <f>C73-C72</f>
        <v>1247.8000000000002</v>
      </c>
      <c r="D74" t="s">
        <v>150</v>
      </c>
    </row>
    <row r="75" spans="1:17" x14ac:dyDescent="0.2">
      <c r="A75" s="60">
        <f t="shared" si="3"/>
        <v>16.55904</v>
      </c>
      <c r="B75" s="58" t="s">
        <v>70</v>
      </c>
      <c r="C75" s="59">
        <f>C71*I70</f>
        <v>16.55904</v>
      </c>
      <c r="D75" s="112" t="s">
        <v>108</v>
      </c>
    </row>
    <row r="76" spans="1:17" x14ac:dyDescent="0.2">
      <c r="A76" s="60">
        <f t="shared" si="3"/>
        <v>4.991200000000001</v>
      </c>
      <c r="B76" s="58" t="s">
        <v>70</v>
      </c>
      <c r="C76" s="59">
        <f>C74*I73</f>
        <v>4.991200000000001</v>
      </c>
      <c r="D76" s="112" t="s">
        <v>110</v>
      </c>
    </row>
    <row r="77" spans="1:17" x14ac:dyDescent="0.2">
      <c r="A77" s="60">
        <f>SUM(A69:A76)</f>
        <v>5409.1102400000009</v>
      </c>
      <c r="B77" s="58" t="s">
        <v>151</v>
      </c>
      <c r="C77" s="58"/>
    </row>
    <row r="78" spans="1:17" x14ac:dyDescent="0.2">
      <c r="A78" s="191" t="s">
        <v>38</v>
      </c>
      <c r="B78" s="191"/>
      <c r="C78" s="191"/>
      <c r="D78" t="s">
        <v>97</v>
      </c>
      <c r="E78" t="s">
        <v>98</v>
      </c>
    </row>
    <row r="79" spans="1:17" x14ac:dyDescent="0.2">
      <c r="A79" s="60" t="str">
        <f t="shared" si="0"/>
        <v/>
      </c>
      <c r="B79" s="74"/>
      <c r="C79" s="61">
        <f>D79*E79</f>
        <v>13650</v>
      </c>
      <c r="D79" s="55">
        <v>10.5</v>
      </c>
      <c r="E79">
        <f>2*12.5*52</f>
        <v>1300</v>
      </c>
      <c r="F79" t="s">
        <v>152</v>
      </c>
      <c r="Q79" s="152"/>
    </row>
    <row r="80" spans="1:17" x14ac:dyDescent="0.2">
      <c r="A80" s="60">
        <f t="shared" si="0"/>
        <v>18421</v>
      </c>
      <c r="B80" s="58" t="s">
        <v>70</v>
      </c>
      <c r="C80" s="61">
        <f>D80*E80</f>
        <v>18421</v>
      </c>
      <c r="D80" s="55">
        <f>N11</f>
        <v>14.17</v>
      </c>
      <c r="E80">
        <f>2*12.5*52</f>
        <v>1300</v>
      </c>
      <c r="F80" t="s">
        <v>145</v>
      </c>
      <c r="G80" t="s">
        <v>153</v>
      </c>
      <c r="H80" s="113"/>
      <c r="I80" s="113">
        <v>0.159</v>
      </c>
      <c r="J80">
        <f>450/E80</f>
        <v>0.34615384615384615</v>
      </c>
      <c r="Q80" s="153"/>
    </row>
    <row r="81" spans="1:17" x14ac:dyDescent="0.2">
      <c r="A81" s="60" t="str">
        <f t="shared" si="0"/>
        <v/>
      </c>
      <c r="B81" s="74"/>
      <c r="C81" s="59">
        <f>C80-C79</f>
        <v>4771</v>
      </c>
      <c r="D81" t="s">
        <v>147</v>
      </c>
      <c r="G81" t="s">
        <v>154</v>
      </c>
      <c r="H81" s="113"/>
      <c r="I81" s="113">
        <v>4.0000000000000001E-3</v>
      </c>
      <c r="J81">
        <f>822/E80</f>
        <v>0.63230769230769235</v>
      </c>
      <c r="Q81" s="153"/>
    </row>
    <row r="82" spans="1:17" x14ac:dyDescent="0.2">
      <c r="A82" s="60">
        <f t="shared" si="0"/>
        <v>1060.4544599999999</v>
      </c>
      <c r="B82" s="58" t="s">
        <v>70</v>
      </c>
      <c r="C82" s="59">
        <f>C80*I80*J80+C80*I81*J81</f>
        <v>1060.4544599999999</v>
      </c>
      <c r="D82" s="112" t="s">
        <v>108</v>
      </c>
    </row>
    <row r="83" spans="1:17" x14ac:dyDescent="0.2">
      <c r="A83" s="60">
        <f>SUM(A79:A82)</f>
        <v>19481.454460000001</v>
      </c>
      <c r="B83" s="58" t="s">
        <v>155</v>
      </c>
      <c r="C83" s="58"/>
    </row>
    <row r="84" spans="1:17" x14ac:dyDescent="0.2">
      <c r="A84" s="191" t="s">
        <v>156</v>
      </c>
      <c r="B84" s="191"/>
      <c r="C84" s="191"/>
    </row>
    <row r="85" spans="1:17" x14ac:dyDescent="0.2">
      <c r="A85" s="60">
        <f t="shared" si="0"/>
        <v>65000</v>
      </c>
      <c r="B85" s="58" t="s">
        <v>70</v>
      </c>
      <c r="C85" s="61">
        <v>65000</v>
      </c>
      <c r="D85" t="s">
        <v>157</v>
      </c>
    </row>
    <row r="86" spans="1:17" x14ac:dyDescent="0.2">
      <c r="A86" s="60" t="str">
        <f t="shared" si="0"/>
        <v/>
      </c>
      <c r="B86" s="58" t="s">
        <v>112</v>
      </c>
      <c r="C86" s="61">
        <v>65000</v>
      </c>
      <c r="D86" t="s">
        <v>158</v>
      </c>
    </row>
    <row r="87" spans="1:17" x14ac:dyDescent="0.2">
      <c r="A87" s="60">
        <f t="shared" si="0"/>
        <v>65000</v>
      </c>
      <c r="B87" s="58" t="s">
        <v>70</v>
      </c>
      <c r="C87" s="61">
        <v>65000</v>
      </c>
      <c r="D87" t="s">
        <v>159</v>
      </c>
    </row>
    <row r="88" spans="1:17" x14ac:dyDescent="0.2">
      <c r="A88" s="60">
        <f>SUM(A85:A87)</f>
        <v>130000</v>
      </c>
      <c r="B88" s="187" t="s">
        <v>160</v>
      </c>
      <c r="C88" s="187"/>
    </row>
  </sheetData>
  <mergeCells count="12">
    <mergeCell ref="A84:C84"/>
    <mergeCell ref="A1:B1"/>
    <mergeCell ref="A2:B2"/>
    <mergeCell ref="B88:C88"/>
    <mergeCell ref="A29:C29"/>
    <mergeCell ref="A10:C10"/>
    <mergeCell ref="A17:C17"/>
    <mergeCell ref="A5:C5"/>
    <mergeCell ref="A47:C47"/>
    <mergeCell ref="A57:C57"/>
    <mergeCell ref="A78:C78"/>
    <mergeCell ref="A68:C68"/>
  </mergeCells>
  <pageMargins left="0.7" right="0.7" top="0.75" bottom="0.75" header="0.3" footer="0.3"/>
  <pageSetup orientation="portrait" r:id="rId1"/>
  <ignoredErrors>
    <ignoredError sqref="C71"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B8850-E5CF-4310-A09F-50643B8F57ED}">
  <dimension ref="A1:J34"/>
  <sheetViews>
    <sheetView zoomScale="85" zoomScaleNormal="85" workbookViewId="0"/>
  </sheetViews>
  <sheetFormatPr baseColWidth="10" defaultColWidth="8.83203125" defaultRowHeight="15" x14ac:dyDescent="0.2"/>
  <cols>
    <col min="1" max="1" width="56" bestFit="1" customWidth="1"/>
    <col min="2" max="2" width="16.33203125" bestFit="1" customWidth="1"/>
    <col min="3" max="3" width="16.6640625" customWidth="1"/>
    <col min="4" max="4" width="16.33203125" bestFit="1" customWidth="1"/>
    <col min="5" max="5" width="17.5" bestFit="1" customWidth="1"/>
    <col min="6" max="8" width="16.33203125" bestFit="1" customWidth="1"/>
    <col min="9" max="9" width="15.1640625" bestFit="1" customWidth="1"/>
    <col min="10" max="10" width="12.5" bestFit="1" customWidth="1"/>
  </cols>
  <sheetData>
    <row r="1" spans="1:10" x14ac:dyDescent="0.2">
      <c r="B1" s="17" t="s">
        <v>161</v>
      </c>
      <c r="C1" s="17" t="s">
        <v>162</v>
      </c>
      <c r="D1" s="17" t="s">
        <v>163</v>
      </c>
      <c r="E1" s="17" t="s">
        <v>164</v>
      </c>
      <c r="F1" s="17" t="s">
        <v>165</v>
      </c>
      <c r="G1" s="17" t="s">
        <v>166</v>
      </c>
      <c r="H1" s="17" t="s">
        <v>167</v>
      </c>
      <c r="I1" s="17" t="s">
        <v>168</v>
      </c>
    </row>
    <row r="2" spans="1:10" ht="16" x14ac:dyDescent="0.2">
      <c r="A2" s="8" t="s">
        <v>169</v>
      </c>
      <c r="B2" s="14">
        <v>339996.27</v>
      </c>
      <c r="C2" s="14">
        <f>B9</f>
        <v>510231.39999999944</v>
      </c>
      <c r="D2" s="14">
        <f>C9</f>
        <v>423737.58999999892</v>
      </c>
      <c r="E2" s="14">
        <f>D9</f>
        <v>300007.57999999914</v>
      </c>
      <c r="F2" s="14">
        <f>E9</f>
        <v>214372.86999999918</v>
      </c>
      <c r="G2" s="14">
        <f t="shared" ref="G2" si="0">F9</f>
        <v>192031.63999999873</v>
      </c>
      <c r="H2" s="14">
        <f>G9</f>
        <v>189644.31999999844</v>
      </c>
    </row>
    <row r="3" spans="1:10" ht="16" x14ac:dyDescent="0.2">
      <c r="A3" s="8" t="s">
        <v>170</v>
      </c>
      <c r="B3" s="14">
        <v>0</v>
      </c>
      <c r="C3" s="14">
        <f>-5119.14+49530.97</f>
        <v>44411.83</v>
      </c>
      <c r="D3" s="14">
        <v>0</v>
      </c>
      <c r="E3" s="14">
        <f>125328.33+38123.16</f>
        <v>163451.49</v>
      </c>
      <c r="F3" s="14">
        <f>112785.31+9873.46</f>
        <v>122658.76999999999</v>
      </c>
      <c r="G3" s="14">
        <v>0</v>
      </c>
      <c r="H3" s="14">
        <v>0</v>
      </c>
    </row>
    <row r="4" spans="1:10" ht="16" x14ac:dyDescent="0.2">
      <c r="A4" s="8" t="s">
        <v>171</v>
      </c>
      <c r="B4" s="14">
        <v>0</v>
      </c>
      <c r="C4" s="14">
        <v>-40298.449999999997</v>
      </c>
      <c r="D4" s="14">
        <f>-3000-261196.58</f>
        <v>-264196.57999999996</v>
      </c>
      <c r="E4" s="14">
        <v>-46474.78</v>
      </c>
      <c r="F4" s="14">
        <v>0</v>
      </c>
      <c r="G4" s="14">
        <v>0</v>
      </c>
      <c r="H4" s="14">
        <v>0</v>
      </c>
      <c r="I4" s="19"/>
    </row>
    <row r="5" spans="1:10" ht="16" x14ac:dyDescent="0.2">
      <c r="A5" s="21" t="s">
        <v>57</v>
      </c>
      <c r="B5" s="18">
        <v>4122000</v>
      </c>
      <c r="C5" s="18">
        <v>4172000</v>
      </c>
      <c r="D5" s="18">
        <v>4217000</v>
      </c>
      <c r="E5" s="18">
        <v>4589000</v>
      </c>
      <c r="F5" s="18">
        <v>4585000</v>
      </c>
      <c r="G5" s="18">
        <v>4649000</v>
      </c>
      <c r="H5" s="18">
        <v>4372718</v>
      </c>
      <c r="I5" s="57">
        <f>H5+H7</f>
        <v>4705167</v>
      </c>
    </row>
    <row r="6" spans="1:10" ht="16" x14ac:dyDescent="0.2">
      <c r="A6" s="21" t="s">
        <v>172</v>
      </c>
      <c r="B6" s="18">
        <v>471578.5</v>
      </c>
      <c r="C6" s="18">
        <v>379333.75</v>
      </c>
      <c r="D6" s="18">
        <v>361998</v>
      </c>
      <c r="E6" s="18">
        <v>-14056.25</v>
      </c>
      <c r="F6" s="18">
        <v>40000</v>
      </c>
      <c r="G6" s="18">
        <v>-28731.25</v>
      </c>
      <c r="H6" s="18">
        <v>-1332204</v>
      </c>
      <c r="I6" t="s">
        <v>173</v>
      </c>
      <c r="J6" s="16" t="s">
        <v>174</v>
      </c>
    </row>
    <row r="7" spans="1:10" ht="16" x14ac:dyDescent="0.2">
      <c r="A7" s="21" t="s">
        <v>175</v>
      </c>
      <c r="B7" s="18">
        <v>50000</v>
      </c>
      <c r="C7" s="18">
        <v>45000</v>
      </c>
      <c r="D7" s="18">
        <v>372000</v>
      </c>
      <c r="E7" s="18">
        <v>-4000</v>
      </c>
      <c r="F7" s="18">
        <v>64000</v>
      </c>
      <c r="G7" s="18">
        <v>-276282</v>
      </c>
      <c r="H7" s="18">
        <v>332449</v>
      </c>
      <c r="I7" t="s">
        <v>173</v>
      </c>
      <c r="J7" s="14"/>
    </row>
    <row r="8" spans="1:10" ht="16" x14ac:dyDescent="0.2">
      <c r="A8" s="8" t="s">
        <v>176</v>
      </c>
      <c r="B8" s="14">
        <v>-4473343.37</v>
      </c>
      <c r="C8" s="14">
        <v>-4686940.9400000004</v>
      </c>
      <c r="D8" s="14">
        <v>-4810531.43</v>
      </c>
      <c r="E8" s="14">
        <v>-4773555.17</v>
      </c>
      <c r="F8" s="14">
        <v>-4834000</v>
      </c>
      <c r="G8" s="14">
        <v>-4346374.07</v>
      </c>
      <c r="H8" s="14">
        <f>-H18-H32</f>
        <v>-3372963.0000000005</v>
      </c>
      <c r="J8" s="14"/>
    </row>
    <row r="9" spans="1:10" ht="17" thickBot="1" x14ac:dyDescent="0.25">
      <c r="A9" s="9" t="s">
        <v>177</v>
      </c>
      <c r="B9" s="20">
        <f t="shared" ref="B9:D9" si="1">SUM(B2:B8)</f>
        <v>510231.39999999944</v>
      </c>
      <c r="C9" s="20">
        <f t="shared" si="1"/>
        <v>423737.58999999892</v>
      </c>
      <c r="D9" s="20">
        <f t="shared" si="1"/>
        <v>300007.57999999914</v>
      </c>
      <c r="E9" s="20">
        <f>SUM(E2:E8)</f>
        <v>214372.86999999918</v>
      </c>
      <c r="F9" s="20">
        <f>SUM(F2:F8)</f>
        <v>192031.63999999873</v>
      </c>
      <c r="G9" s="20">
        <f t="shared" ref="G9" si="2">SUM(G2:G8)</f>
        <v>189644.31999999844</v>
      </c>
      <c r="H9" s="20">
        <f>SUM(H2:H8)</f>
        <v>189644.31999999797</v>
      </c>
      <c r="J9" s="13"/>
    </row>
    <row r="10" spans="1:10" ht="17" thickTop="1" x14ac:dyDescent="0.2">
      <c r="A10" s="1"/>
      <c r="B10" s="10"/>
      <c r="C10" s="10"/>
      <c r="D10" s="15"/>
      <c r="E10" s="10"/>
      <c r="F10" s="10"/>
      <c r="G10" s="15"/>
      <c r="H10" s="15"/>
    </row>
    <row r="11" spans="1:10" ht="16" x14ac:dyDescent="0.2">
      <c r="A11" s="2" t="s">
        <v>29</v>
      </c>
      <c r="B11" s="3"/>
      <c r="C11" s="3"/>
      <c r="D11" s="3"/>
      <c r="E11" s="3"/>
      <c r="F11" s="3"/>
      <c r="G11" s="3"/>
      <c r="H11" s="23"/>
    </row>
    <row r="12" spans="1:10" ht="16" x14ac:dyDescent="0.2">
      <c r="A12" s="4" t="s">
        <v>178</v>
      </c>
      <c r="B12" s="11" t="s">
        <v>1</v>
      </c>
      <c r="C12" s="11" t="s">
        <v>5</v>
      </c>
      <c r="D12" s="11" t="s">
        <v>9</v>
      </c>
      <c r="E12" s="11" t="s">
        <v>13</v>
      </c>
      <c r="F12" s="11" t="s">
        <v>17</v>
      </c>
      <c r="G12" s="11" t="s">
        <v>21</v>
      </c>
      <c r="H12" s="11" t="s">
        <v>25</v>
      </c>
    </row>
    <row r="13" spans="1:10" ht="16" x14ac:dyDescent="0.2">
      <c r="A13" s="5" t="s">
        <v>31</v>
      </c>
      <c r="B13" s="16">
        <v>475000</v>
      </c>
      <c r="C13" s="16">
        <v>475000</v>
      </c>
      <c r="D13" s="16">
        <v>475000</v>
      </c>
      <c r="E13" s="16">
        <v>545000</v>
      </c>
      <c r="F13" s="16">
        <v>545000</v>
      </c>
      <c r="G13" s="16">
        <v>545000</v>
      </c>
      <c r="H13" s="16">
        <v>545000</v>
      </c>
    </row>
    <row r="14" spans="1:10" ht="16" x14ac:dyDescent="0.2">
      <c r="A14" s="5" t="s">
        <v>32</v>
      </c>
      <c r="B14" s="16">
        <v>131000</v>
      </c>
      <c r="C14" s="16">
        <v>120000</v>
      </c>
      <c r="D14" s="16">
        <v>120000</v>
      </c>
      <c r="E14" s="16">
        <v>155000</v>
      </c>
      <c r="F14" s="16">
        <v>155000</v>
      </c>
      <c r="G14" s="16">
        <v>155000</v>
      </c>
      <c r="H14" s="16">
        <v>155000</v>
      </c>
    </row>
    <row r="15" spans="1:10" ht="16" x14ac:dyDescent="0.2">
      <c r="A15" s="5" t="s">
        <v>33</v>
      </c>
      <c r="B15" s="16">
        <v>75000</v>
      </c>
      <c r="C15" s="16">
        <v>75000</v>
      </c>
      <c r="D15" s="16">
        <v>75000</v>
      </c>
      <c r="E15" s="16">
        <v>75000</v>
      </c>
      <c r="F15" s="16">
        <v>75000</v>
      </c>
      <c r="G15" s="16">
        <v>75000</v>
      </c>
      <c r="H15" s="16">
        <v>75000</v>
      </c>
    </row>
    <row r="16" spans="1:10" ht="16" x14ac:dyDescent="0.2">
      <c r="A16" s="5" t="s">
        <v>34</v>
      </c>
      <c r="B16" s="16">
        <v>0</v>
      </c>
      <c r="C16" s="16">
        <v>0</v>
      </c>
      <c r="D16" s="16">
        <v>0</v>
      </c>
      <c r="E16" s="16">
        <v>255000</v>
      </c>
      <c r="F16" s="16">
        <v>255000</v>
      </c>
      <c r="G16" s="16">
        <v>255000</v>
      </c>
      <c r="H16" s="16">
        <v>255000</v>
      </c>
    </row>
    <row r="17" spans="1:8" ht="16" x14ac:dyDescent="0.2">
      <c r="A17" s="5" t="s">
        <v>172</v>
      </c>
      <c r="B17" s="16">
        <v>0</v>
      </c>
      <c r="C17" s="16">
        <v>0</v>
      </c>
      <c r="D17" s="16">
        <v>0</v>
      </c>
      <c r="E17" s="16">
        <v>0</v>
      </c>
      <c r="F17" s="16">
        <v>0</v>
      </c>
      <c r="G17" s="16">
        <v>0</v>
      </c>
      <c r="H17" s="16">
        <v>0</v>
      </c>
    </row>
    <row r="18" spans="1:8" ht="17" thickBot="1" x14ac:dyDescent="0.25">
      <c r="A18" s="5" t="s">
        <v>35</v>
      </c>
      <c r="B18" s="22">
        <f t="shared" ref="B18:F18" si="3">SUM(B13:B17)</f>
        <v>681000</v>
      </c>
      <c r="C18" s="22">
        <f t="shared" si="3"/>
        <v>670000</v>
      </c>
      <c r="D18" s="22">
        <f>SUM(D13:D17)</f>
        <v>670000</v>
      </c>
      <c r="E18" s="22">
        <f t="shared" si="3"/>
        <v>1030000</v>
      </c>
      <c r="F18" s="22">
        <f t="shared" si="3"/>
        <v>1030000</v>
      </c>
      <c r="G18" s="22">
        <f>SUM(G13:G17)</f>
        <v>1030000</v>
      </c>
      <c r="H18" s="22">
        <f>SUM(H13:H17)</f>
        <v>1030000</v>
      </c>
    </row>
    <row r="19" spans="1:8" ht="17" thickTop="1" x14ac:dyDescent="0.2">
      <c r="A19" s="5"/>
      <c r="B19" s="12"/>
      <c r="C19" s="12"/>
      <c r="D19" s="12"/>
      <c r="E19" s="12"/>
      <c r="F19" s="12"/>
      <c r="G19" s="12"/>
      <c r="H19" s="12"/>
    </row>
    <row r="20" spans="1:8" ht="16" x14ac:dyDescent="0.2">
      <c r="A20" s="5"/>
      <c r="B20" s="12"/>
      <c r="C20" s="12"/>
      <c r="D20" s="12"/>
      <c r="E20" s="12"/>
      <c r="F20" s="12"/>
      <c r="G20" s="12"/>
      <c r="H20" s="12"/>
    </row>
    <row r="21" spans="1:8" ht="16" x14ac:dyDescent="0.2">
      <c r="A21" s="2" t="s">
        <v>36</v>
      </c>
      <c r="B21" s="3"/>
      <c r="C21" s="3"/>
      <c r="D21" s="3"/>
      <c r="E21" s="3"/>
      <c r="F21" s="3"/>
      <c r="G21" s="3"/>
      <c r="H21" s="23"/>
    </row>
    <row r="22" spans="1:8" ht="16" x14ac:dyDescent="0.2">
      <c r="A22" s="4" t="s">
        <v>178</v>
      </c>
      <c r="B22" s="11" t="s">
        <v>1</v>
      </c>
      <c r="C22" s="11" t="s">
        <v>5</v>
      </c>
      <c r="D22" s="11" t="s">
        <v>9</v>
      </c>
      <c r="E22" s="11" t="s">
        <v>13</v>
      </c>
      <c r="F22" s="11" t="s">
        <v>17</v>
      </c>
      <c r="G22" s="11" t="str">
        <f>G12</f>
        <v>FY21 Allocation</v>
      </c>
      <c r="H22" s="11" t="s">
        <v>25</v>
      </c>
    </row>
    <row r="23" spans="1:8" ht="16" x14ac:dyDescent="0.2">
      <c r="A23" s="5" t="s">
        <v>38</v>
      </c>
      <c r="B23" s="16">
        <v>1882279.15625</v>
      </c>
      <c r="C23" s="16">
        <v>1941748.24</v>
      </c>
      <c r="D23" s="16">
        <v>1937850.89925</v>
      </c>
      <c r="E23" s="16">
        <v>1912817.81</v>
      </c>
      <c r="F23" s="16">
        <v>1976591.8</v>
      </c>
      <c r="G23" s="16">
        <v>1790215.6423500001</v>
      </c>
      <c r="H23" s="16">
        <v>1265668.6126000001</v>
      </c>
    </row>
    <row r="24" spans="1:8" ht="16" x14ac:dyDescent="0.2">
      <c r="A24" s="5" t="s">
        <v>39</v>
      </c>
      <c r="B24" s="16">
        <v>496482.44</v>
      </c>
      <c r="C24" s="16">
        <v>526161.05000000005</v>
      </c>
      <c r="D24" s="16">
        <v>497867.27550000005</v>
      </c>
      <c r="E24" s="16">
        <v>489004.33</v>
      </c>
      <c r="F24" s="16">
        <v>505307.9</v>
      </c>
      <c r="G24" s="16">
        <v>457661.570175</v>
      </c>
      <c r="H24" s="16">
        <v>323563.19030000002</v>
      </c>
    </row>
    <row r="25" spans="1:8" ht="16" x14ac:dyDescent="0.2">
      <c r="A25" s="5" t="s">
        <v>40</v>
      </c>
      <c r="B25" s="16">
        <v>559440.16</v>
      </c>
      <c r="C25" s="16">
        <v>647115.14999999991</v>
      </c>
      <c r="D25" s="16">
        <v>466923.62325</v>
      </c>
      <c r="E25" s="16">
        <f>495732.13+100000</f>
        <v>595732.13</v>
      </c>
      <c r="F25" s="16">
        <v>512260.00000000006</v>
      </c>
      <c r="G25" s="16">
        <v>463958.14500000002</v>
      </c>
      <c r="H25" s="16">
        <v>328014.82</v>
      </c>
    </row>
    <row r="26" spans="1:8" ht="16" x14ac:dyDescent="0.2">
      <c r="A26" s="5" t="s">
        <v>34</v>
      </c>
      <c r="B26" s="16">
        <v>210248.59375</v>
      </c>
      <c r="C26" s="16">
        <v>213540.26</v>
      </c>
      <c r="D26" s="16">
        <v>216455.89874999999</v>
      </c>
      <c r="E26" s="16">
        <v>0</v>
      </c>
      <c r="F26" s="16">
        <v>0</v>
      </c>
      <c r="G26" s="16">
        <v>0</v>
      </c>
      <c r="H26" s="16">
        <v>0</v>
      </c>
    </row>
    <row r="27" spans="1:8" ht="16" x14ac:dyDescent="0.2">
      <c r="A27" s="5" t="s">
        <v>41</v>
      </c>
      <c r="B27" s="16">
        <v>252807.125</v>
      </c>
      <c r="C27" s="16">
        <v>296765.08999999997</v>
      </c>
      <c r="D27" s="16">
        <v>260270.913</v>
      </c>
      <c r="E27" s="16">
        <f>268403.54+57611.42</f>
        <v>326014.95999999996</v>
      </c>
      <c r="F27" s="16">
        <v>277352.2</v>
      </c>
      <c r="G27" s="16">
        <v>251200.19565000001</v>
      </c>
      <c r="H27" s="16">
        <v>177596.59540000002</v>
      </c>
    </row>
    <row r="28" spans="1:8" ht="16" x14ac:dyDescent="0.2">
      <c r="A28" s="5" t="s">
        <v>42</v>
      </c>
      <c r="B28" s="16">
        <v>46047.53125</v>
      </c>
      <c r="C28" s="16">
        <v>46768.45</v>
      </c>
      <c r="D28" s="16">
        <v>47407.022250000002</v>
      </c>
      <c r="E28" s="16">
        <v>47094.55</v>
      </c>
      <c r="F28" s="16">
        <v>48664.7</v>
      </c>
      <c r="G28" s="16">
        <v>44076.023774999994</v>
      </c>
      <c r="H28" s="16">
        <v>31161.407899999998</v>
      </c>
    </row>
    <row r="29" spans="1:8" ht="16" x14ac:dyDescent="0.2">
      <c r="A29" s="5" t="s">
        <v>43</v>
      </c>
      <c r="B29" s="16">
        <v>198800.3125</v>
      </c>
      <c r="C29" s="16">
        <v>229597.74</v>
      </c>
      <c r="D29" s="16">
        <v>204669.6225</v>
      </c>
      <c r="E29" s="16">
        <v>207145.21</v>
      </c>
      <c r="F29" s="16">
        <v>214051.5</v>
      </c>
      <c r="G29" s="16">
        <v>193868.22487500001</v>
      </c>
      <c r="H29" s="16">
        <v>137063.33550000002</v>
      </c>
    </row>
    <row r="30" spans="1:8" ht="16" x14ac:dyDescent="0.2">
      <c r="A30" s="5" t="s">
        <v>44</v>
      </c>
      <c r="B30" s="16">
        <v>86467.25</v>
      </c>
      <c r="C30" s="16">
        <v>87664.42</v>
      </c>
      <c r="D30" s="16">
        <v>78724.842000000004</v>
      </c>
      <c r="E30" s="16">
        <v>79671.23</v>
      </c>
      <c r="F30" s="16">
        <v>82327.5</v>
      </c>
      <c r="G30" s="16">
        <v>74564.701874999999</v>
      </c>
      <c r="H30" s="16">
        <v>52716.667499999996</v>
      </c>
    </row>
    <row r="31" spans="1:8" ht="17" thickBot="1" x14ac:dyDescent="0.25">
      <c r="A31" s="6" t="s">
        <v>45</v>
      </c>
      <c r="B31" s="16">
        <v>30601.4375</v>
      </c>
      <c r="C31" s="16">
        <v>37580.54</v>
      </c>
      <c r="D31" s="16">
        <v>31504.9035</v>
      </c>
      <c r="E31" s="16">
        <v>41074.949999999997</v>
      </c>
      <c r="F31" s="16">
        <v>42444.399999999994</v>
      </c>
      <c r="G31" s="16">
        <v>38442.246299999999</v>
      </c>
      <c r="H31" s="16">
        <v>27178.370799999997</v>
      </c>
    </row>
    <row r="32" spans="1:8" ht="18" thickTop="1" thickBot="1" x14ac:dyDescent="0.25">
      <c r="A32" s="7" t="s">
        <v>46</v>
      </c>
      <c r="B32" s="22">
        <f t="shared" ref="B32:F32" si="4">SUM(B23:B31)</f>
        <v>3763174.0062500001</v>
      </c>
      <c r="C32" s="22">
        <f t="shared" si="4"/>
        <v>4026940.9400000004</v>
      </c>
      <c r="D32" s="22">
        <f t="shared" si="4"/>
        <v>3741675.0000000009</v>
      </c>
      <c r="E32" s="22">
        <f t="shared" si="4"/>
        <v>3698555.17</v>
      </c>
      <c r="F32" s="22">
        <f t="shared" si="4"/>
        <v>3659000.0000000005</v>
      </c>
      <c r="G32" s="22">
        <f>SUM(G23:G31)</f>
        <v>3313986.75</v>
      </c>
      <c r="H32" s="22">
        <f>SUM(H23:H31)</f>
        <v>2342963.0000000005</v>
      </c>
    </row>
    <row r="33" spans="2:8" ht="16" thickTop="1" x14ac:dyDescent="0.2"/>
    <row r="34" spans="2:8" x14ac:dyDescent="0.2">
      <c r="B34" s="13"/>
      <c r="C34" s="13"/>
      <c r="D34" s="13"/>
      <c r="E34" s="13"/>
      <c r="F34" s="13"/>
      <c r="G34" s="13"/>
      <c r="H34" s="13"/>
    </row>
  </sheetData>
  <phoneticPr fontId="5"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065A1-031C-472E-9419-1F7D71C2C8D4}">
  <dimension ref="A1:AA1767"/>
  <sheetViews>
    <sheetView zoomScale="115" zoomScaleNormal="115" workbookViewId="0"/>
  </sheetViews>
  <sheetFormatPr baseColWidth="10" defaultColWidth="0" defaultRowHeight="15" zeroHeight="1" x14ac:dyDescent="0.2"/>
  <cols>
    <col min="1" max="1" width="7.33203125" customWidth="1"/>
    <col min="2" max="2" width="15.5" bestFit="1" customWidth="1"/>
    <col min="3" max="3" width="12.83203125" bestFit="1" customWidth="1"/>
    <col min="4" max="4" width="11.33203125" bestFit="1" customWidth="1"/>
    <col min="5" max="5" width="10.33203125" bestFit="1" customWidth="1"/>
    <col min="6" max="6" width="15" bestFit="1" customWidth="1"/>
    <col min="7" max="7" width="9.83203125" bestFit="1" customWidth="1"/>
    <col min="8" max="8" width="9.5" bestFit="1" customWidth="1"/>
    <col min="9" max="9" width="13.5" bestFit="1" customWidth="1"/>
    <col min="10" max="10" width="10" bestFit="1" customWidth="1"/>
    <col min="11" max="11" width="10.6640625" bestFit="1" customWidth="1"/>
    <col min="12" max="12" width="9.5" bestFit="1" customWidth="1"/>
    <col min="13" max="21" width="9.5" hidden="1" customWidth="1"/>
    <col min="22" max="22" width="9.33203125" hidden="1" customWidth="1"/>
    <col min="23" max="25" width="9.5" hidden="1" customWidth="1"/>
    <col min="26" max="26" width="9.33203125" hidden="1" customWidth="1"/>
    <col min="27" max="27" width="9.5" hidden="1" customWidth="1"/>
    <col min="28" max="16384" width="8.83203125" hidden="1"/>
  </cols>
  <sheetData>
    <row r="1" spans="1:12" x14ac:dyDescent="0.2">
      <c r="A1" s="79" t="s">
        <v>179</v>
      </c>
      <c r="B1" s="79" t="s">
        <v>180</v>
      </c>
      <c r="C1" s="79" t="s">
        <v>181</v>
      </c>
      <c r="D1" s="79" t="s">
        <v>182</v>
      </c>
      <c r="E1" s="79" t="s">
        <v>183</v>
      </c>
      <c r="F1" s="79" t="s">
        <v>184</v>
      </c>
      <c r="G1" s="79" t="s">
        <v>185</v>
      </c>
      <c r="H1" s="79" t="s">
        <v>182</v>
      </c>
      <c r="I1" s="79" t="s">
        <v>186</v>
      </c>
      <c r="J1" s="79" t="s">
        <v>187</v>
      </c>
      <c r="K1" s="79" t="s">
        <v>188</v>
      </c>
    </row>
    <row r="2" spans="1:12" x14ac:dyDescent="0.2">
      <c r="A2" s="58">
        <v>2022</v>
      </c>
      <c r="B2" s="58">
        <v>864</v>
      </c>
      <c r="C2" s="58"/>
      <c r="D2" s="58"/>
      <c r="E2" s="60"/>
      <c r="F2" s="60"/>
      <c r="G2" s="58"/>
      <c r="H2" s="58"/>
      <c r="I2" s="60"/>
      <c r="J2" s="60"/>
      <c r="K2" s="58"/>
    </row>
    <row r="3" spans="1:12" x14ac:dyDescent="0.2">
      <c r="A3" s="58">
        <v>2021</v>
      </c>
      <c r="B3" s="58">
        <v>1406</v>
      </c>
      <c r="C3" s="58">
        <v>414</v>
      </c>
      <c r="D3" s="87">
        <f>C3/B3</f>
        <v>0.29445234708392604</v>
      </c>
      <c r="E3" s="86">
        <f>219883/C3</f>
        <v>531.11835748792271</v>
      </c>
      <c r="F3" s="60">
        <v>219883</v>
      </c>
      <c r="G3" s="58">
        <v>323</v>
      </c>
      <c r="H3" s="87">
        <f>G3/B3</f>
        <v>0.22972972972972974</v>
      </c>
      <c r="I3" s="86">
        <f>27168/G3</f>
        <v>84.111455108359138</v>
      </c>
      <c r="J3" s="60">
        <v>27168</v>
      </c>
      <c r="K3" s="67">
        <f>J3+F3</f>
        <v>247051</v>
      </c>
    </row>
    <row r="4" spans="1:12" x14ac:dyDescent="0.2">
      <c r="A4" s="58">
        <v>2020</v>
      </c>
      <c r="B4" s="58">
        <v>1379</v>
      </c>
      <c r="C4" s="58">
        <v>893</v>
      </c>
      <c r="D4" s="87">
        <f>C4/B4</f>
        <v>0.64757070340826683</v>
      </c>
      <c r="E4" s="86">
        <f>297992/C4</f>
        <v>333.69764837625979</v>
      </c>
      <c r="F4" s="60">
        <v>297992</v>
      </c>
      <c r="G4" s="58">
        <v>495</v>
      </c>
      <c r="H4" s="87">
        <f>G4/B4</f>
        <v>0.35895576504713561</v>
      </c>
      <c r="I4" s="86">
        <f>49107/G4</f>
        <v>99.206060606060603</v>
      </c>
      <c r="J4" s="60">
        <v>49107</v>
      </c>
      <c r="K4" s="67">
        <f t="shared" ref="K4:K5" si="0">J4+F4</f>
        <v>347099</v>
      </c>
    </row>
    <row r="5" spans="1:12" x14ac:dyDescent="0.2">
      <c r="A5" s="58">
        <v>2019</v>
      </c>
      <c r="B5" s="58">
        <v>1478</v>
      </c>
      <c r="C5" s="58">
        <v>772</v>
      </c>
      <c r="D5" s="87">
        <f>C5/B5</f>
        <v>0.52232746955345066</v>
      </c>
      <c r="E5" s="86">
        <f>460541/C5</f>
        <v>596.5556994818653</v>
      </c>
      <c r="F5" s="60">
        <v>460541</v>
      </c>
      <c r="G5" s="58">
        <v>508</v>
      </c>
      <c r="H5" s="87">
        <f>G5/B5</f>
        <v>0.34370771312584575</v>
      </c>
      <c r="I5" s="86">
        <f>71967/G5</f>
        <v>141.66732283464566</v>
      </c>
      <c r="J5" s="60">
        <v>71967</v>
      </c>
      <c r="K5" s="67">
        <f t="shared" si="0"/>
        <v>532508</v>
      </c>
    </row>
    <row r="6" spans="1:12" x14ac:dyDescent="0.2">
      <c r="A6" s="58">
        <v>2018</v>
      </c>
      <c r="B6" s="58">
        <v>1430</v>
      </c>
      <c r="C6" s="58"/>
      <c r="D6" s="58"/>
      <c r="E6" s="60"/>
      <c r="F6" s="60"/>
      <c r="G6" s="58"/>
      <c r="H6" s="58"/>
      <c r="I6" s="58"/>
      <c r="J6" s="58"/>
      <c r="K6" s="58"/>
    </row>
    <row r="7" spans="1:12" x14ac:dyDescent="0.2">
      <c r="A7" s="187" t="s">
        <v>40</v>
      </c>
      <c r="B7" s="187"/>
      <c r="C7" s="187"/>
      <c r="D7" s="124"/>
      <c r="G7" s="78"/>
      <c r="H7" s="83"/>
    </row>
    <row r="8" spans="1:12" x14ac:dyDescent="0.2">
      <c r="A8" s="58" t="s">
        <v>179</v>
      </c>
      <c r="B8" s="58" t="s">
        <v>189</v>
      </c>
      <c r="C8" s="58" t="s">
        <v>190</v>
      </c>
      <c r="D8" s="58" t="s">
        <v>191</v>
      </c>
      <c r="G8" s="78"/>
      <c r="H8" s="83"/>
    </row>
    <row r="9" spans="1:12" x14ac:dyDescent="0.2">
      <c r="A9" s="58">
        <v>2022</v>
      </c>
      <c r="B9" s="60">
        <f>'Allocation &amp; CF'!Y12+'Allocation &amp; CF'!AA12</f>
        <v>957416.05</v>
      </c>
      <c r="C9" s="60">
        <f>'Allocation &amp; CF'!AA12</f>
        <v>328014.82</v>
      </c>
      <c r="D9" s="60">
        <f>'Allocation &amp; CF'!AB12</f>
        <v>570416.05000000005</v>
      </c>
      <c r="F9" s="66"/>
      <c r="G9" s="78"/>
      <c r="H9" s="83"/>
      <c r="L9" s="30"/>
    </row>
    <row r="10" spans="1:12" x14ac:dyDescent="0.2">
      <c r="A10" s="58">
        <v>2021</v>
      </c>
      <c r="B10" s="60">
        <f>'Allocation &amp; CF'!U12+'Allocation &amp; CF'!W12</f>
        <v>786452.245</v>
      </c>
      <c r="C10" s="60">
        <f>'Allocation &amp; CF'!X12</f>
        <v>157051.01500000001</v>
      </c>
      <c r="D10" s="60">
        <f>'Allocation &amp; CF'!Y12</f>
        <v>629401.23</v>
      </c>
      <c r="E10" s="66"/>
      <c r="G10" s="78"/>
      <c r="H10" s="83"/>
    </row>
    <row r="11" spans="1:12" x14ac:dyDescent="0.2">
      <c r="A11" s="58">
        <v>2020</v>
      </c>
      <c r="B11" s="60">
        <f>'Allocation &amp; CF'!Q12+'Allocation &amp; CF'!S12-'Allocation &amp; CF'!R12</f>
        <v>620296.28300000005</v>
      </c>
      <c r="C11" s="60">
        <f>'Allocation &amp; CF'!T12</f>
        <v>297802.18300000008</v>
      </c>
      <c r="D11" s="60">
        <f>'Allocation &amp; CF'!U12</f>
        <v>322494.09999999998</v>
      </c>
      <c r="E11" s="66"/>
      <c r="F11" s="66"/>
      <c r="G11" s="78"/>
      <c r="H11" s="83"/>
    </row>
    <row r="12" spans="1:12" x14ac:dyDescent="0.2">
      <c r="A12" s="58">
        <v>2019</v>
      </c>
      <c r="B12" s="60">
        <f>'Allocation &amp; CF'!M12+'Allocation &amp; CF'!O12-'Allocation &amp; CF'!N12</f>
        <v>685952.95200000005</v>
      </c>
      <c r="C12" s="60">
        <f>'Allocation &amp; CF'!P12</f>
        <v>465131.36200000008</v>
      </c>
      <c r="D12" s="60">
        <f>'Allocation &amp; CF'!Q12</f>
        <v>220821.59</v>
      </c>
      <c r="E12" s="66"/>
      <c r="G12" s="78"/>
      <c r="H12" s="83"/>
    </row>
    <row r="13" spans="1:12" x14ac:dyDescent="0.2">
      <c r="A13" s="58">
        <v>2018</v>
      </c>
      <c r="B13" s="60">
        <f>'Allocation &amp; CF'!I12+'Allocation &amp; CF'!K12</f>
        <v>466923.62325</v>
      </c>
      <c r="C13" s="60">
        <f>'Allocation &amp; CF'!K12</f>
        <v>466923.62325</v>
      </c>
      <c r="D13" s="60">
        <f>'Allocation &amp; CF'!M12</f>
        <v>215549.15</v>
      </c>
      <c r="G13" s="78"/>
      <c r="H13" s="83"/>
    </row>
    <row r="14" spans="1:12" x14ac:dyDescent="0.2">
      <c r="A14" s="58">
        <v>2017</v>
      </c>
      <c r="B14" s="60">
        <f>'Allocation &amp; CF'!E12+'Allocation &amp; CF'!G12</f>
        <v>647115.14999999991</v>
      </c>
      <c r="C14" s="60">
        <f>'Allocation &amp; CF'!H12</f>
        <v>647115.14999999991</v>
      </c>
      <c r="D14" s="60">
        <f>'Allocation &amp; CF'!I12</f>
        <v>0</v>
      </c>
      <c r="G14" s="78"/>
      <c r="H14" s="83"/>
    </row>
    <row r="15" spans="1:12" x14ac:dyDescent="0.2">
      <c r="A15" s="58">
        <v>2016</v>
      </c>
      <c r="B15" s="60">
        <f>'Allocation &amp; CF'!B12+'Allocation &amp; CF'!C12</f>
        <v>559440.16</v>
      </c>
      <c r="C15" s="60">
        <f>'Allocation &amp; CF'!C12</f>
        <v>559440.16</v>
      </c>
      <c r="D15" s="60">
        <f>'Allocation &amp; CF'!E12</f>
        <v>0</v>
      </c>
      <c r="G15" s="78"/>
      <c r="H15" s="83"/>
    </row>
    <row r="16" spans="1:12" x14ac:dyDescent="0.2">
      <c r="G16" s="78"/>
      <c r="H16" s="83"/>
    </row>
    <row r="17" spans="2:9" x14ac:dyDescent="0.2">
      <c r="B17" s="58" t="s">
        <v>192</v>
      </c>
      <c r="C17" s="67">
        <f>AVERAGE(C9:C15)</f>
        <v>417354.04475000006</v>
      </c>
      <c r="F17" s="58">
        <f>1430</f>
        <v>1430</v>
      </c>
      <c r="G17" s="109">
        <v>0.52</v>
      </c>
      <c r="H17" s="110">
        <f>E5</f>
        <v>596.5556994818653</v>
      </c>
      <c r="I17" s="30">
        <f>F17*G17*H17</f>
        <v>443598.81813471508</v>
      </c>
    </row>
    <row r="18" spans="2:9" x14ac:dyDescent="0.2">
      <c r="B18" s="58" t="s">
        <v>193</v>
      </c>
      <c r="C18" s="67">
        <f>'Allocation &amp; CF'!AB12</f>
        <v>570416.05000000005</v>
      </c>
      <c r="G18" s="77"/>
      <c r="H18" s="83"/>
    </row>
    <row r="19" spans="2:9" x14ac:dyDescent="0.2">
      <c r="B19" s="58" t="s">
        <v>194</v>
      </c>
      <c r="C19" s="67">
        <f>C18/3</f>
        <v>190138.68333333335</v>
      </c>
      <c r="G19" s="77"/>
      <c r="H19" s="83"/>
    </row>
    <row r="20" spans="2:9" x14ac:dyDescent="0.2">
      <c r="B20" s="58" t="s">
        <v>195</v>
      </c>
      <c r="C20" s="67">
        <f>C17*1.2</f>
        <v>500824.85370000004</v>
      </c>
      <c r="G20" s="77"/>
      <c r="H20" s="83"/>
    </row>
    <row r="21" spans="2:9" x14ac:dyDescent="0.2">
      <c r="B21" s="58" t="s">
        <v>196</v>
      </c>
      <c r="C21" s="67">
        <f>C20-C19</f>
        <v>310686.17036666669</v>
      </c>
      <c r="G21" s="77"/>
      <c r="H21" s="83"/>
    </row>
    <row r="22" spans="2:9" x14ac:dyDescent="0.2">
      <c r="G22" s="77"/>
      <c r="H22" s="83"/>
    </row>
    <row r="23" spans="2:9" hidden="1" x14ac:dyDescent="0.2">
      <c r="G23" s="77"/>
      <c r="H23" s="83"/>
    </row>
    <row r="24" spans="2:9" hidden="1" x14ac:dyDescent="0.2">
      <c r="G24" s="77"/>
      <c r="H24" s="83"/>
    </row>
    <row r="25" spans="2:9" hidden="1" x14ac:dyDescent="0.2">
      <c r="G25" s="77"/>
      <c r="H25" s="83"/>
    </row>
    <row r="26" spans="2:9" hidden="1" x14ac:dyDescent="0.2">
      <c r="G26" s="77"/>
      <c r="H26" s="83"/>
    </row>
    <row r="27" spans="2:9" hidden="1" x14ac:dyDescent="0.2">
      <c r="G27" s="77"/>
      <c r="H27" s="83"/>
    </row>
    <row r="28" spans="2:9" hidden="1" x14ac:dyDescent="0.2">
      <c r="G28" s="77"/>
      <c r="H28" s="83"/>
    </row>
    <row r="29" spans="2:9" hidden="1" x14ac:dyDescent="0.2">
      <c r="G29" s="77"/>
      <c r="H29" s="83"/>
    </row>
    <row r="30" spans="2:9" hidden="1" x14ac:dyDescent="0.2">
      <c r="G30" s="77"/>
      <c r="H30" s="83"/>
    </row>
    <row r="31" spans="2:9" hidden="1" x14ac:dyDescent="0.2">
      <c r="G31" s="77"/>
      <c r="H31" s="83"/>
    </row>
    <row r="32" spans="2:9" hidden="1" x14ac:dyDescent="0.2">
      <c r="G32" s="77"/>
      <c r="H32" s="83"/>
    </row>
    <row r="33" spans="7:8" hidden="1" x14ac:dyDescent="0.2">
      <c r="G33" s="77"/>
      <c r="H33" s="83"/>
    </row>
    <row r="34" spans="7:8" hidden="1" x14ac:dyDescent="0.2">
      <c r="G34" s="77"/>
      <c r="H34" s="83"/>
    </row>
    <row r="35" spans="7:8" hidden="1" x14ac:dyDescent="0.2">
      <c r="G35" s="77"/>
      <c r="H35" s="83"/>
    </row>
    <row r="36" spans="7:8" hidden="1" x14ac:dyDescent="0.2">
      <c r="G36" s="77"/>
      <c r="H36" s="83"/>
    </row>
    <row r="37" spans="7:8" hidden="1" x14ac:dyDescent="0.2">
      <c r="G37" s="77"/>
      <c r="H37" s="83"/>
    </row>
    <row r="38" spans="7:8" hidden="1" x14ac:dyDescent="0.2">
      <c r="G38" s="77"/>
      <c r="H38" s="83"/>
    </row>
    <row r="39" spans="7:8" hidden="1" x14ac:dyDescent="0.2">
      <c r="G39" s="77"/>
      <c r="H39" s="83"/>
    </row>
    <row r="40" spans="7:8" hidden="1" x14ac:dyDescent="0.2">
      <c r="G40" s="77"/>
      <c r="H40" s="83"/>
    </row>
    <row r="41" spans="7:8" hidden="1" x14ac:dyDescent="0.2">
      <c r="G41" s="77"/>
      <c r="H41" s="83"/>
    </row>
    <row r="42" spans="7:8" hidden="1" x14ac:dyDescent="0.2">
      <c r="G42" s="77"/>
      <c r="H42" s="83"/>
    </row>
    <row r="43" spans="7:8" hidden="1" x14ac:dyDescent="0.2">
      <c r="G43" s="77"/>
      <c r="H43" s="83"/>
    </row>
    <row r="44" spans="7:8" hidden="1" x14ac:dyDescent="0.2">
      <c r="G44" s="77"/>
      <c r="H44" s="83"/>
    </row>
    <row r="45" spans="7:8" hidden="1" x14ac:dyDescent="0.2">
      <c r="G45" s="77"/>
      <c r="H45" s="83"/>
    </row>
    <row r="46" spans="7:8" hidden="1" x14ac:dyDescent="0.2">
      <c r="G46" s="77"/>
      <c r="H46" s="83"/>
    </row>
    <row r="47" spans="7:8" hidden="1" x14ac:dyDescent="0.2">
      <c r="G47" s="77"/>
      <c r="H47" s="83"/>
    </row>
    <row r="48" spans="7:8" hidden="1" x14ac:dyDescent="0.2">
      <c r="G48" s="77"/>
      <c r="H48" s="83"/>
    </row>
    <row r="49" spans="7:8" hidden="1" x14ac:dyDescent="0.2">
      <c r="G49" s="77"/>
      <c r="H49" s="83"/>
    </row>
    <row r="50" spans="7:8" hidden="1" x14ac:dyDescent="0.2">
      <c r="G50" s="77"/>
      <c r="H50" s="83"/>
    </row>
    <row r="51" spans="7:8" hidden="1" x14ac:dyDescent="0.2">
      <c r="G51" s="77"/>
      <c r="H51" s="83"/>
    </row>
    <row r="52" spans="7:8" hidden="1" x14ac:dyDescent="0.2">
      <c r="G52" s="77"/>
      <c r="H52" s="83"/>
    </row>
    <row r="53" spans="7:8" hidden="1" x14ac:dyDescent="0.2">
      <c r="G53" s="77"/>
      <c r="H53" s="83"/>
    </row>
    <row r="54" spans="7:8" hidden="1" x14ac:dyDescent="0.2">
      <c r="G54" s="77"/>
      <c r="H54" s="83"/>
    </row>
    <row r="55" spans="7:8" hidden="1" x14ac:dyDescent="0.2">
      <c r="G55" s="77"/>
      <c r="H55" s="83"/>
    </row>
    <row r="56" spans="7:8" hidden="1" x14ac:dyDescent="0.2">
      <c r="G56" s="77"/>
      <c r="H56" s="83"/>
    </row>
    <row r="57" spans="7:8" hidden="1" x14ac:dyDescent="0.2">
      <c r="G57" s="77"/>
      <c r="H57" s="83"/>
    </row>
    <row r="58" spans="7:8" hidden="1" x14ac:dyDescent="0.2">
      <c r="G58" s="77"/>
      <c r="H58" s="83"/>
    </row>
    <row r="59" spans="7:8" hidden="1" x14ac:dyDescent="0.2">
      <c r="G59" s="77"/>
      <c r="H59" s="83"/>
    </row>
    <row r="60" spans="7:8" hidden="1" x14ac:dyDescent="0.2">
      <c r="G60" s="77"/>
      <c r="H60" s="83"/>
    </row>
    <row r="61" spans="7:8" hidden="1" x14ac:dyDescent="0.2">
      <c r="G61" s="77"/>
      <c r="H61" s="83"/>
    </row>
    <row r="62" spans="7:8" hidden="1" x14ac:dyDescent="0.2">
      <c r="G62" s="77"/>
      <c r="H62" s="83"/>
    </row>
    <row r="63" spans="7:8" hidden="1" x14ac:dyDescent="0.2">
      <c r="G63" s="77"/>
      <c r="H63" s="83"/>
    </row>
    <row r="64" spans="7:8" hidden="1" x14ac:dyDescent="0.2">
      <c r="G64" s="77"/>
      <c r="H64" s="83"/>
    </row>
    <row r="65" spans="7:8" hidden="1" x14ac:dyDescent="0.2">
      <c r="G65" s="77"/>
      <c r="H65" s="83"/>
    </row>
    <row r="66" spans="7:8" hidden="1" x14ac:dyDescent="0.2">
      <c r="G66" s="77"/>
      <c r="H66" s="83"/>
    </row>
    <row r="67" spans="7:8" hidden="1" x14ac:dyDescent="0.2">
      <c r="G67" s="77"/>
      <c r="H67" s="83"/>
    </row>
    <row r="68" spans="7:8" hidden="1" x14ac:dyDescent="0.2">
      <c r="G68" s="77"/>
      <c r="H68" s="83"/>
    </row>
    <row r="69" spans="7:8" hidden="1" x14ac:dyDescent="0.2">
      <c r="G69" s="77"/>
      <c r="H69" s="83"/>
    </row>
    <row r="70" spans="7:8" hidden="1" x14ac:dyDescent="0.2">
      <c r="G70" s="77"/>
      <c r="H70" s="83"/>
    </row>
    <row r="71" spans="7:8" hidden="1" x14ac:dyDescent="0.2">
      <c r="G71" s="77"/>
      <c r="H71" s="83"/>
    </row>
    <row r="72" spans="7:8" hidden="1" x14ac:dyDescent="0.2">
      <c r="G72" s="77"/>
      <c r="H72" s="83"/>
    </row>
    <row r="73" spans="7:8" hidden="1" x14ac:dyDescent="0.2">
      <c r="G73" s="77"/>
      <c r="H73" s="83"/>
    </row>
    <row r="74" spans="7:8" hidden="1" x14ac:dyDescent="0.2">
      <c r="G74" s="77"/>
      <c r="H74" s="83"/>
    </row>
    <row r="75" spans="7:8" hidden="1" x14ac:dyDescent="0.2">
      <c r="G75" s="77"/>
      <c r="H75" s="83"/>
    </row>
    <row r="76" spans="7:8" hidden="1" x14ac:dyDescent="0.2">
      <c r="G76" s="77"/>
      <c r="H76" s="83"/>
    </row>
    <row r="77" spans="7:8" hidden="1" x14ac:dyDescent="0.2">
      <c r="G77" s="77"/>
      <c r="H77" s="83"/>
    </row>
    <row r="78" spans="7:8" hidden="1" x14ac:dyDescent="0.2">
      <c r="G78" s="77"/>
      <c r="H78" s="83"/>
    </row>
    <row r="79" spans="7:8" hidden="1" x14ac:dyDescent="0.2">
      <c r="G79" s="77"/>
      <c r="H79" s="83"/>
    </row>
    <row r="80" spans="7:8" hidden="1" x14ac:dyDescent="0.2">
      <c r="G80" s="77"/>
      <c r="H80" s="83"/>
    </row>
    <row r="81" spans="7:8" hidden="1" x14ac:dyDescent="0.2">
      <c r="G81" s="77"/>
      <c r="H81" s="83"/>
    </row>
    <row r="82" spans="7:8" hidden="1" x14ac:dyDescent="0.2">
      <c r="G82" s="77"/>
      <c r="H82" s="83"/>
    </row>
    <row r="83" spans="7:8" hidden="1" x14ac:dyDescent="0.2">
      <c r="G83" s="77"/>
      <c r="H83" s="83"/>
    </row>
    <row r="84" spans="7:8" hidden="1" x14ac:dyDescent="0.2">
      <c r="G84" s="77"/>
      <c r="H84" s="83"/>
    </row>
    <row r="85" spans="7:8" hidden="1" x14ac:dyDescent="0.2">
      <c r="G85" s="77"/>
      <c r="H85" s="83"/>
    </row>
    <row r="86" spans="7:8" hidden="1" x14ac:dyDescent="0.2">
      <c r="G86" s="77"/>
      <c r="H86" s="83"/>
    </row>
    <row r="87" spans="7:8" hidden="1" x14ac:dyDescent="0.2">
      <c r="G87" s="77"/>
      <c r="H87" s="83"/>
    </row>
    <row r="88" spans="7:8" hidden="1" x14ac:dyDescent="0.2">
      <c r="G88" s="77"/>
      <c r="H88" s="83"/>
    </row>
    <row r="89" spans="7:8" hidden="1" x14ac:dyDescent="0.2">
      <c r="G89" s="77"/>
      <c r="H89" s="83"/>
    </row>
    <row r="90" spans="7:8" hidden="1" x14ac:dyDescent="0.2">
      <c r="G90" s="77"/>
      <c r="H90" s="83"/>
    </row>
    <row r="91" spans="7:8" hidden="1" x14ac:dyDescent="0.2">
      <c r="G91" s="77"/>
      <c r="H91" s="83"/>
    </row>
    <row r="92" spans="7:8" hidden="1" x14ac:dyDescent="0.2">
      <c r="G92" s="77"/>
      <c r="H92" s="83"/>
    </row>
    <row r="93" spans="7:8" hidden="1" x14ac:dyDescent="0.2">
      <c r="G93" s="77"/>
      <c r="H93" s="83"/>
    </row>
    <row r="94" spans="7:8" hidden="1" x14ac:dyDescent="0.2">
      <c r="G94" s="77"/>
      <c r="H94" s="83"/>
    </row>
    <row r="95" spans="7:8" hidden="1" x14ac:dyDescent="0.2">
      <c r="G95" s="77"/>
      <c r="H95" s="83"/>
    </row>
    <row r="96" spans="7:8" hidden="1" x14ac:dyDescent="0.2">
      <c r="G96" s="77"/>
      <c r="H96" s="83"/>
    </row>
    <row r="97" spans="7:8" hidden="1" x14ac:dyDescent="0.2">
      <c r="G97" s="77"/>
      <c r="H97" s="83"/>
    </row>
    <row r="98" spans="7:8" hidden="1" x14ac:dyDescent="0.2">
      <c r="G98" s="77"/>
      <c r="H98" s="83"/>
    </row>
    <row r="99" spans="7:8" hidden="1" x14ac:dyDescent="0.2">
      <c r="G99" s="77"/>
      <c r="H99" s="83"/>
    </row>
    <row r="100" spans="7:8" hidden="1" x14ac:dyDescent="0.2">
      <c r="G100" s="77"/>
      <c r="H100" s="83"/>
    </row>
    <row r="101" spans="7:8" hidden="1" x14ac:dyDescent="0.2">
      <c r="G101" s="77"/>
      <c r="H101" s="83"/>
    </row>
    <row r="102" spans="7:8" hidden="1" x14ac:dyDescent="0.2">
      <c r="G102" s="77"/>
      <c r="H102" s="83"/>
    </row>
    <row r="103" spans="7:8" hidden="1" x14ac:dyDescent="0.2">
      <c r="G103" s="77"/>
      <c r="H103" s="83"/>
    </row>
    <row r="104" spans="7:8" hidden="1" x14ac:dyDescent="0.2">
      <c r="G104" s="77"/>
      <c r="H104" s="83"/>
    </row>
    <row r="105" spans="7:8" hidden="1" x14ac:dyDescent="0.2">
      <c r="G105" s="77"/>
      <c r="H105" s="83"/>
    </row>
    <row r="106" spans="7:8" hidden="1" x14ac:dyDescent="0.2">
      <c r="G106" s="77"/>
      <c r="H106" s="83"/>
    </row>
    <row r="107" spans="7:8" hidden="1" x14ac:dyDescent="0.2">
      <c r="G107" s="77"/>
      <c r="H107" s="83"/>
    </row>
    <row r="108" spans="7:8" hidden="1" x14ac:dyDescent="0.2">
      <c r="G108" s="77"/>
      <c r="H108" s="83"/>
    </row>
    <row r="109" spans="7:8" hidden="1" x14ac:dyDescent="0.2">
      <c r="G109" s="77"/>
      <c r="H109" s="83"/>
    </row>
    <row r="110" spans="7:8" hidden="1" x14ac:dyDescent="0.2">
      <c r="G110" s="77"/>
      <c r="H110" s="83"/>
    </row>
    <row r="111" spans="7:8" hidden="1" x14ac:dyDescent="0.2">
      <c r="G111" s="77"/>
      <c r="H111" s="83"/>
    </row>
    <row r="112" spans="7:8" hidden="1" x14ac:dyDescent="0.2">
      <c r="G112" s="77"/>
      <c r="H112" s="83"/>
    </row>
    <row r="113" spans="7:8" hidden="1" x14ac:dyDescent="0.2">
      <c r="G113" s="77"/>
      <c r="H113" s="83"/>
    </row>
    <row r="114" spans="7:8" hidden="1" x14ac:dyDescent="0.2">
      <c r="G114" s="77"/>
      <c r="H114" s="83"/>
    </row>
    <row r="115" spans="7:8" hidden="1" x14ac:dyDescent="0.2">
      <c r="G115" s="77"/>
      <c r="H115" s="83"/>
    </row>
    <row r="116" spans="7:8" hidden="1" x14ac:dyDescent="0.2">
      <c r="G116" s="77"/>
      <c r="H116" s="83"/>
    </row>
    <row r="117" spans="7:8" hidden="1" x14ac:dyDescent="0.2">
      <c r="G117" s="77"/>
      <c r="H117" s="83"/>
    </row>
    <row r="118" spans="7:8" hidden="1" x14ac:dyDescent="0.2">
      <c r="G118" s="77"/>
      <c r="H118" s="83"/>
    </row>
    <row r="119" spans="7:8" hidden="1" x14ac:dyDescent="0.2">
      <c r="G119" s="77"/>
      <c r="H119" s="83"/>
    </row>
    <row r="120" spans="7:8" hidden="1" x14ac:dyDescent="0.2">
      <c r="G120" s="77"/>
      <c r="H120" s="83"/>
    </row>
    <row r="121" spans="7:8" hidden="1" x14ac:dyDescent="0.2">
      <c r="G121" s="77"/>
      <c r="H121" s="83"/>
    </row>
    <row r="122" spans="7:8" hidden="1" x14ac:dyDescent="0.2">
      <c r="G122" s="77"/>
      <c r="H122" s="83"/>
    </row>
    <row r="123" spans="7:8" hidden="1" x14ac:dyDescent="0.2">
      <c r="G123" s="77"/>
      <c r="H123" s="83"/>
    </row>
    <row r="124" spans="7:8" hidden="1" x14ac:dyDescent="0.2">
      <c r="G124" s="77"/>
      <c r="H124" s="83"/>
    </row>
    <row r="125" spans="7:8" hidden="1" x14ac:dyDescent="0.2">
      <c r="G125" s="77"/>
      <c r="H125" s="83"/>
    </row>
    <row r="126" spans="7:8" hidden="1" x14ac:dyDescent="0.2">
      <c r="G126" s="77"/>
      <c r="H126" s="83"/>
    </row>
    <row r="127" spans="7:8" hidden="1" x14ac:dyDescent="0.2">
      <c r="G127" s="77"/>
      <c r="H127" s="83"/>
    </row>
    <row r="128" spans="7:8" hidden="1" x14ac:dyDescent="0.2">
      <c r="G128" s="77"/>
      <c r="H128" s="83"/>
    </row>
    <row r="129" spans="7:8" hidden="1" x14ac:dyDescent="0.2">
      <c r="G129" s="77"/>
      <c r="H129" s="83"/>
    </row>
    <row r="130" spans="7:8" hidden="1" x14ac:dyDescent="0.2">
      <c r="G130" s="77"/>
      <c r="H130" s="83"/>
    </row>
    <row r="131" spans="7:8" hidden="1" x14ac:dyDescent="0.2">
      <c r="G131" s="77"/>
      <c r="H131" s="83"/>
    </row>
    <row r="132" spans="7:8" hidden="1" x14ac:dyDescent="0.2">
      <c r="G132" s="77"/>
      <c r="H132" s="83"/>
    </row>
    <row r="133" spans="7:8" hidden="1" x14ac:dyDescent="0.2">
      <c r="G133" s="77"/>
      <c r="H133" s="83"/>
    </row>
    <row r="134" spans="7:8" hidden="1" x14ac:dyDescent="0.2">
      <c r="G134" s="77"/>
      <c r="H134" s="83"/>
    </row>
    <row r="135" spans="7:8" hidden="1" x14ac:dyDescent="0.2">
      <c r="G135" s="77"/>
      <c r="H135" s="83"/>
    </row>
    <row r="136" spans="7:8" hidden="1" x14ac:dyDescent="0.2">
      <c r="G136" s="77"/>
      <c r="H136" s="83"/>
    </row>
    <row r="137" spans="7:8" hidden="1" x14ac:dyDescent="0.2">
      <c r="G137" s="77"/>
      <c r="H137" s="83"/>
    </row>
    <row r="138" spans="7:8" hidden="1" x14ac:dyDescent="0.2">
      <c r="G138" s="77"/>
      <c r="H138" s="83"/>
    </row>
    <row r="139" spans="7:8" hidden="1" x14ac:dyDescent="0.2">
      <c r="G139" s="77"/>
      <c r="H139" s="83"/>
    </row>
    <row r="140" spans="7:8" hidden="1" x14ac:dyDescent="0.2">
      <c r="G140" s="77"/>
      <c r="H140" s="83"/>
    </row>
    <row r="141" spans="7:8" hidden="1" x14ac:dyDescent="0.2">
      <c r="G141" s="77"/>
      <c r="H141" s="83"/>
    </row>
    <row r="142" spans="7:8" hidden="1" x14ac:dyDescent="0.2">
      <c r="G142" s="77"/>
      <c r="H142" s="83"/>
    </row>
    <row r="143" spans="7:8" hidden="1" x14ac:dyDescent="0.2">
      <c r="G143" s="77"/>
      <c r="H143" s="83"/>
    </row>
    <row r="144" spans="7:8" hidden="1" x14ac:dyDescent="0.2">
      <c r="G144" s="77"/>
      <c r="H144" s="83"/>
    </row>
    <row r="145" spans="7:8" hidden="1" x14ac:dyDescent="0.2">
      <c r="G145" s="77"/>
      <c r="H145" s="83"/>
    </row>
    <row r="146" spans="7:8" hidden="1" x14ac:dyDescent="0.2">
      <c r="G146" s="77"/>
      <c r="H146" s="83"/>
    </row>
    <row r="147" spans="7:8" hidden="1" x14ac:dyDescent="0.2">
      <c r="G147" s="77"/>
      <c r="H147" s="83"/>
    </row>
    <row r="148" spans="7:8" hidden="1" x14ac:dyDescent="0.2">
      <c r="G148" s="77"/>
      <c r="H148" s="83"/>
    </row>
    <row r="149" spans="7:8" hidden="1" x14ac:dyDescent="0.2">
      <c r="G149" s="77"/>
      <c r="H149" s="83"/>
    </row>
    <row r="150" spans="7:8" hidden="1" x14ac:dyDescent="0.2">
      <c r="G150" s="77"/>
      <c r="H150" s="83"/>
    </row>
    <row r="151" spans="7:8" hidden="1" x14ac:dyDescent="0.2">
      <c r="G151" s="77"/>
      <c r="H151" s="83"/>
    </row>
    <row r="152" spans="7:8" hidden="1" x14ac:dyDescent="0.2">
      <c r="G152" s="77"/>
      <c r="H152" s="83"/>
    </row>
    <row r="153" spans="7:8" hidden="1" x14ac:dyDescent="0.2">
      <c r="G153" s="77"/>
      <c r="H153" s="83"/>
    </row>
    <row r="154" spans="7:8" hidden="1" x14ac:dyDescent="0.2">
      <c r="G154" s="77"/>
      <c r="H154" s="83"/>
    </row>
    <row r="155" spans="7:8" hidden="1" x14ac:dyDescent="0.2">
      <c r="G155" s="77"/>
      <c r="H155" s="83"/>
    </row>
    <row r="156" spans="7:8" hidden="1" x14ac:dyDescent="0.2">
      <c r="G156" s="77"/>
      <c r="H156" s="83"/>
    </row>
    <row r="157" spans="7:8" hidden="1" x14ac:dyDescent="0.2">
      <c r="G157" s="77"/>
      <c r="H157" s="83"/>
    </row>
    <row r="158" spans="7:8" hidden="1" x14ac:dyDescent="0.2">
      <c r="G158" s="77"/>
      <c r="H158" s="83"/>
    </row>
    <row r="159" spans="7:8" hidden="1" x14ac:dyDescent="0.2">
      <c r="G159" s="77"/>
      <c r="H159" s="83"/>
    </row>
    <row r="160" spans="7:8" hidden="1" x14ac:dyDescent="0.2">
      <c r="G160" s="77"/>
      <c r="H160" s="83"/>
    </row>
    <row r="161" spans="7:8" hidden="1" x14ac:dyDescent="0.2">
      <c r="G161" s="77"/>
      <c r="H161" s="83"/>
    </row>
    <row r="162" spans="7:8" hidden="1" x14ac:dyDescent="0.2">
      <c r="G162" s="77"/>
      <c r="H162" s="83"/>
    </row>
    <row r="163" spans="7:8" hidden="1" x14ac:dyDescent="0.2">
      <c r="G163" s="77"/>
      <c r="H163" s="83"/>
    </row>
    <row r="164" spans="7:8" hidden="1" x14ac:dyDescent="0.2">
      <c r="G164" s="77"/>
      <c r="H164" s="83"/>
    </row>
    <row r="165" spans="7:8" hidden="1" x14ac:dyDescent="0.2">
      <c r="G165" s="77"/>
      <c r="H165" s="83"/>
    </row>
    <row r="166" spans="7:8" hidden="1" x14ac:dyDescent="0.2">
      <c r="G166" s="77"/>
      <c r="H166" s="83"/>
    </row>
    <row r="167" spans="7:8" hidden="1" x14ac:dyDescent="0.2">
      <c r="G167" s="77"/>
      <c r="H167" s="83"/>
    </row>
    <row r="168" spans="7:8" hidden="1" x14ac:dyDescent="0.2">
      <c r="G168" s="77"/>
      <c r="H168" s="83"/>
    </row>
    <row r="169" spans="7:8" hidden="1" x14ac:dyDescent="0.2">
      <c r="G169" s="77"/>
      <c r="H169" s="83"/>
    </row>
    <row r="170" spans="7:8" hidden="1" x14ac:dyDescent="0.2">
      <c r="G170" s="77"/>
      <c r="H170" s="83"/>
    </row>
    <row r="171" spans="7:8" hidden="1" x14ac:dyDescent="0.2">
      <c r="G171" s="77"/>
      <c r="H171" s="83"/>
    </row>
    <row r="172" spans="7:8" hidden="1" x14ac:dyDescent="0.2">
      <c r="G172" s="77"/>
      <c r="H172" s="83"/>
    </row>
    <row r="173" spans="7:8" hidden="1" x14ac:dyDescent="0.2">
      <c r="G173" s="77"/>
      <c r="H173" s="83"/>
    </row>
    <row r="174" spans="7:8" hidden="1" x14ac:dyDescent="0.2">
      <c r="G174" s="77"/>
      <c r="H174" s="83"/>
    </row>
    <row r="175" spans="7:8" hidden="1" x14ac:dyDescent="0.2">
      <c r="G175" s="77"/>
      <c r="H175" s="83"/>
    </row>
    <row r="176" spans="7:8" hidden="1" x14ac:dyDescent="0.2">
      <c r="G176" s="77"/>
      <c r="H176" s="83"/>
    </row>
    <row r="177" spans="7:8" hidden="1" x14ac:dyDescent="0.2">
      <c r="G177" s="77"/>
      <c r="H177" s="83"/>
    </row>
    <row r="178" spans="7:8" hidden="1" x14ac:dyDescent="0.2">
      <c r="G178" s="77"/>
      <c r="H178" s="83"/>
    </row>
    <row r="179" spans="7:8" hidden="1" x14ac:dyDescent="0.2">
      <c r="G179" s="77"/>
      <c r="H179" s="83"/>
    </row>
    <row r="180" spans="7:8" hidden="1" x14ac:dyDescent="0.2">
      <c r="G180" s="77"/>
      <c r="H180" s="83"/>
    </row>
    <row r="181" spans="7:8" hidden="1" x14ac:dyDescent="0.2">
      <c r="G181" s="77"/>
      <c r="H181" s="83"/>
    </row>
    <row r="182" spans="7:8" hidden="1" x14ac:dyDescent="0.2">
      <c r="G182" s="77"/>
      <c r="H182" s="83"/>
    </row>
    <row r="183" spans="7:8" hidden="1" x14ac:dyDescent="0.2">
      <c r="G183" s="77"/>
      <c r="H183" s="83"/>
    </row>
    <row r="184" spans="7:8" hidden="1" x14ac:dyDescent="0.2">
      <c r="G184" s="77"/>
      <c r="H184" s="83"/>
    </row>
    <row r="185" spans="7:8" hidden="1" x14ac:dyDescent="0.2">
      <c r="G185" s="77"/>
      <c r="H185" s="83"/>
    </row>
    <row r="186" spans="7:8" hidden="1" x14ac:dyDescent="0.2">
      <c r="G186" s="77"/>
      <c r="H186" s="83"/>
    </row>
    <row r="187" spans="7:8" hidden="1" x14ac:dyDescent="0.2">
      <c r="G187" s="77"/>
      <c r="H187" s="83"/>
    </row>
    <row r="188" spans="7:8" hidden="1" x14ac:dyDescent="0.2">
      <c r="G188" s="77"/>
      <c r="H188" s="83"/>
    </row>
    <row r="189" spans="7:8" hidden="1" x14ac:dyDescent="0.2">
      <c r="G189" s="77"/>
      <c r="H189" s="83"/>
    </row>
    <row r="190" spans="7:8" hidden="1" x14ac:dyDescent="0.2">
      <c r="G190" s="77"/>
      <c r="H190" s="83"/>
    </row>
    <row r="191" spans="7:8" hidden="1" x14ac:dyDescent="0.2">
      <c r="G191" s="77"/>
      <c r="H191" s="83"/>
    </row>
    <row r="192" spans="7:8" hidden="1" x14ac:dyDescent="0.2">
      <c r="G192" s="77"/>
      <c r="H192" s="83"/>
    </row>
    <row r="193" spans="7:8" hidden="1" x14ac:dyDescent="0.2">
      <c r="G193" s="77"/>
      <c r="H193" s="83"/>
    </row>
    <row r="194" spans="7:8" hidden="1" x14ac:dyDescent="0.2">
      <c r="G194" s="77"/>
      <c r="H194" s="83"/>
    </row>
    <row r="195" spans="7:8" hidden="1" x14ac:dyDescent="0.2">
      <c r="G195" s="77"/>
      <c r="H195" s="83"/>
    </row>
    <row r="196" spans="7:8" hidden="1" x14ac:dyDescent="0.2">
      <c r="G196" s="77"/>
      <c r="H196" s="83"/>
    </row>
    <row r="197" spans="7:8" hidden="1" x14ac:dyDescent="0.2">
      <c r="G197" s="77"/>
      <c r="H197" s="83"/>
    </row>
    <row r="198" spans="7:8" hidden="1" x14ac:dyDescent="0.2">
      <c r="G198" s="77"/>
      <c r="H198" s="83"/>
    </row>
    <row r="199" spans="7:8" hidden="1" x14ac:dyDescent="0.2">
      <c r="G199" s="77"/>
      <c r="H199" s="83"/>
    </row>
    <row r="200" spans="7:8" hidden="1" x14ac:dyDescent="0.2">
      <c r="G200" s="77"/>
      <c r="H200" s="83"/>
    </row>
    <row r="201" spans="7:8" hidden="1" x14ac:dyDescent="0.2">
      <c r="G201" s="77"/>
      <c r="H201" s="83"/>
    </row>
    <row r="202" spans="7:8" hidden="1" x14ac:dyDescent="0.2">
      <c r="G202" s="77"/>
      <c r="H202" s="83"/>
    </row>
    <row r="203" spans="7:8" hidden="1" x14ac:dyDescent="0.2">
      <c r="G203" s="77"/>
      <c r="H203" s="83"/>
    </row>
    <row r="204" spans="7:8" hidden="1" x14ac:dyDescent="0.2">
      <c r="G204" s="77"/>
      <c r="H204" s="83"/>
    </row>
    <row r="205" spans="7:8" hidden="1" x14ac:dyDescent="0.2">
      <c r="G205" s="77"/>
      <c r="H205" s="83"/>
    </row>
    <row r="206" spans="7:8" hidden="1" x14ac:dyDescent="0.2">
      <c r="G206" s="77"/>
      <c r="H206" s="83"/>
    </row>
    <row r="207" spans="7:8" hidden="1" x14ac:dyDescent="0.2">
      <c r="G207" s="77"/>
      <c r="H207" s="83"/>
    </row>
    <row r="208" spans="7:8" hidden="1" x14ac:dyDescent="0.2">
      <c r="G208" s="77"/>
      <c r="H208" s="83"/>
    </row>
    <row r="209" spans="7:8" hidden="1" x14ac:dyDescent="0.2">
      <c r="G209" s="77"/>
      <c r="H209" s="83"/>
    </row>
    <row r="210" spans="7:8" hidden="1" x14ac:dyDescent="0.2">
      <c r="G210" s="77"/>
      <c r="H210" s="83"/>
    </row>
    <row r="211" spans="7:8" hidden="1" x14ac:dyDescent="0.2">
      <c r="G211" s="77"/>
      <c r="H211" s="83"/>
    </row>
    <row r="212" spans="7:8" hidden="1" x14ac:dyDescent="0.2">
      <c r="G212" s="77"/>
      <c r="H212" s="83"/>
    </row>
    <row r="213" spans="7:8" hidden="1" x14ac:dyDescent="0.2">
      <c r="G213" s="77"/>
      <c r="H213" s="83"/>
    </row>
    <row r="214" spans="7:8" hidden="1" x14ac:dyDescent="0.2">
      <c r="G214" s="77"/>
      <c r="H214" s="83"/>
    </row>
    <row r="215" spans="7:8" hidden="1" x14ac:dyDescent="0.2">
      <c r="G215" s="77"/>
      <c r="H215" s="83"/>
    </row>
    <row r="216" spans="7:8" hidden="1" x14ac:dyDescent="0.2">
      <c r="G216" s="77"/>
      <c r="H216" s="83"/>
    </row>
    <row r="217" spans="7:8" hidden="1" x14ac:dyDescent="0.2">
      <c r="G217" s="77"/>
      <c r="H217" s="83"/>
    </row>
    <row r="218" spans="7:8" hidden="1" x14ac:dyDescent="0.2">
      <c r="G218" s="77"/>
      <c r="H218" s="83"/>
    </row>
    <row r="219" spans="7:8" hidden="1" x14ac:dyDescent="0.2">
      <c r="G219" s="77"/>
      <c r="H219" s="83"/>
    </row>
    <row r="220" spans="7:8" hidden="1" x14ac:dyDescent="0.2">
      <c r="G220" s="77"/>
      <c r="H220" s="83"/>
    </row>
    <row r="221" spans="7:8" hidden="1" x14ac:dyDescent="0.2">
      <c r="G221" s="77"/>
      <c r="H221" s="83"/>
    </row>
    <row r="222" spans="7:8" hidden="1" x14ac:dyDescent="0.2">
      <c r="G222" s="77"/>
      <c r="H222" s="83"/>
    </row>
    <row r="223" spans="7:8" hidden="1" x14ac:dyDescent="0.2">
      <c r="G223" s="77"/>
      <c r="H223" s="83"/>
    </row>
    <row r="224" spans="7:8" hidden="1" x14ac:dyDescent="0.2">
      <c r="G224" s="77"/>
      <c r="H224" s="83"/>
    </row>
    <row r="225" spans="7:8" hidden="1" x14ac:dyDescent="0.2">
      <c r="G225" s="77"/>
      <c r="H225" s="83"/>
    </row>
    <row r="226" spans="7:8" hidden="1" x14ac:dyDescent="0.2">
      <c r="G226" s="77"/>
      <c r="H226" s="83"/>
    </row>
    <row r="227" spans="7:8" hidden="1" x14ac:dyDescent="0.2">
      <c r="G227" s="77"/>
      <c r="H227" s="83"/>
    </row>
    <row r="228" spans="7:8" hidden="1" x14ac:dyDescent="0.2">
      <c r="G228" s="77"/>
      <c r="H228" s="83"/>
    </row>
    <row r="229" spans="7:8" hidden="1" x14ac:dyDescent="0.2">
      <c r="G229" s="77"/>
      <c r="H229" s="83"/>
    </row>
    <row r="230" spans="7:8" hidden="1" x14ac:dyDescent="0.2">
      <c r="G230" s="77"/>
      <c r="H230" s="83"/>
    </row>
    <row r="231" spans="7:8" hidden="1" x14ac:dyDescent="0.2">
      <c r="G231" s="77"/>
      <c r="H231" s="83"/>
    </row>
    <row r="232" spans="7:8" hidden="1" x14ac:dyDescent="0.2">
      <c r="G232" s="77"/>
      <c r="H232" s="83"/>
    </row>
    <row r="233" spans="7:8" hidden="1" x14ac:dyDescent="0.2">
      <c r="G233" s="77"/>
      <c r="H233" s="83"/>
    </row>
    <row r="234" spans="7:8" hidden="1" x14ac:dyDescent="0.2">
      <c r="G234" s="77"/>
      <c r="H234" s="83"/>
    </row>
    <row r="235" spans="7:8" hidden="1" x14ac:dyDescent="0.2">
      <c r="G235" s="77"/>
      <c r="H235" s="83"/>
    </row>
    <row r="236" spans="7:8" hidden="1" x14ac:dyDescent="0.2">
      <c r="G236" s="77"/>
      <c r="H236" s="83"/>
    </row>
    <row r="237" spans="7:8" hidden="1" x14ac:dyDescent="0.2">
      <c r="G237" s="77"/>
      <c r="H237" s="83"/>
    </row>
    <row r="238" spans="7:8" hidden="1" x14ac:dyDescent="0.2">
      <c r="G238" s="77"/>
      <c r="H238" s="83"/>
    </row>
    <row r="239" spans="7:8" hidden="1" x14ac:dyDescent="0.2">
      <c r="G239" s="77"/>
      <c r="H239" s="83"/>
    </row>
    <row r="240" spans="7:8" hidden="1" x14ac:dyDescent="0.2">
      <c r="G240" s="77"/>
      <c r="H240" s="83"/>
    </row>
    <row r="241" spans="7:8" hidden="1" x14ac:dyDescent="0.2">
      <c r="G241" s="77"/>
      <c r="H241" s="83"/>
    </row>
    <row r="242" spans="7:8" hidden="1" x14ac:dyDescent="0.2">
      <c r="G242" s="77"/>
      <c r="H242" s="83"/>
    </row>
    <row r="243" spans="7:8" hidden="1" x14ac:dyDescent="0.2">
      <c r="G243" s="77"/>
      <c r="H243" s="83"/>
    </row>
    <row r="244" spans="7:8" hidden="1" x14ac:dyDescent="0.2">
      <c r="G244" s="77"/>
      <c r="H244" s="83"/>
    </row>
    <row r="245" spans="7:8" hidden="1" x14ac:dyDescent="0.2">
      <c r="G245" s="77"/>
      <c r="H245" s="83"/>
    </row>
    <row r="246" spans="7:8" hidden="1" x14ac:dyDescent="0.2">
      <c r="G246" s="77"/>
      <c r="H246" s="83"/>
    </row>
    <row r="247" spans="7:8" hidden="1" x14ac:dyDescent="0.2">
      <c r="G247" s="77"/>
      <c r="H247" s="83"/>
    </row>
    <row r="248" spans="7:8" hidden="1" x14ac:dyDescent="0.2">
      <c r="G248" s="77"/>
      <c r="H248" s="83"/>
    </row>
    <row r="249" spans="7:8" hidden="1" x14ac:dyDescent="0.2">
      <c r="G249" s="77"/>
      <c r="H249" s="83"/>
    </row>
    <row r="250" spans="7:8" hidden="1" x14ac:dyDescent="0.2">
      <c r="G250" s="77"/>
      <c r="H250" s="83"/>
    </row>
    <row r="251" spans="7:8" hidden="1" x14ac:dyDescent="0.2">
      <c r="G251" s="77"/>
      <c r="H251" s="83"/>
    </row>
    <row r="252" spans="7:8" hidden="1" x14ac:dyDescent="0.2">
      <c r="G252" s="77"/>
      <c r="H252" s="83"/>
    </row>
    <row r="253" spans="7:8" hidden="1" x14ac:dyDescent="0.2">
      <c r="G253" s="77"/>
      <c r="H253" s="83"/>
    </row>
    <row r="254" spans="7:8" hidden="1" x14ac:dyDescent="0.2">
      <c r="G254" s="77"/>
      <c r="H254" s="83"/>
    </row>
    <row r="255" spans="7:8" hidden="1" x14ac:dyDescent="0.2">
      <c r="G255" s="77"/>
      <c r="H255" s="83"/>
    </row>
    <row r="256" spans="7:8" hidden="1" x14ac:dyDescent="0.2">
      <c r="G256" s="77"/>
      <c r="H256" s="83"/>
    </row>
    <row r="257" spans="7:8" hidden="1" x14ac:dyDescent="0.2">
      <c r="G257" s="77"/>
      <c r="H257" s="83"/>
    </row>
    <row r="258" spans="7:8" hidden="1" x14ac:dyDescent="0.2">
      <c r="G258" s="77"/>
      <c r="H258" s="83"/>
    </row>
    <row r="259" spans="7:8" hidden="1" x14ac:dyDescent="0.2">
      <c r="G259" s="77"/>
      <c r="H259" s="83"/>
    </row>
    <row r="260" spans="7:8" hidden="1" x14ac:dyDescent="0.2">
      <c r="G260" s="77"/>
      <c r="H260" s="83"/>
    </row>
    <row r="261" spans="7:8" hidden="1" x14ac:dyDescent="0.2">
      <c r="G261" s="77"/>
      <c r="H261" s="83"/>
    </row>
    <row r="262" spans="7:8" hidden="1" x14ac:dyDescent="0.2">
      <c r="G262" s="77"/>
      <c r="H262" s="83"/>
    </row>
    <row r="263" spans="7:8" hidden="1" x14ac:dyDescent="0.2">
      <c r="G263" s="77"/>
      <c r="H263" s="83"/>
    </row>
    <row r="264" spans="7:8" hidden="1" x14ac:dyDescent="0.2">
      <c r="G264" s="77"/>
      <c r="H264" s="83"/>
    </row>
    <row r="265" spans="7:8" hidden="1" x14ac:dyDescent="0.2">
      <c r="G265" s="77"/>
      <c r="H265" s="83"/>
    </row>
    <row r="266" spans="7:8" hidden="1" x14ac:dyDescent="0.2">
      <c r="G266" s="77"/>
      <c r="H266" s="83"/>
    </row>
    <row r="267" spans="7:8" hidden="1" x14ac:dyDescent="0.2">
      <c r="G267" s="77"/>
      <c r="H267" s="83"/>
    </row>
    <row r="268" spans="7:8" hidden="1" x14ac:dyDescent="0.2">
      <c r="G268" s="77"/>
      <c r="H268" s="83"/>
    </row>
    <row r="269" spans="7:8" hidden="1" x14ac:dyDescent="0.2">
      <c r="G269" s="77"/>
      <c r="H269" s="83"/>
    </row>
    <row r="270" spans="7:8" hidden="1" x14ac:dyDescent="0.2">
      <c r="G270" s="77"/>
      <c r="H270" s="83"/>
    </row>
    <row r="271" spans="7:8" hidden="1" x14ac:dyDescent="0.2">
      <c r="G271" s="77"/>
      <c r="H271" s="83"/>
    </row>
    <row r="272" spans="7:8" hidden="1" x14ac:dyDescent="0.2">
      <c r="G272" s="77"/>
      <c r="H272" s="83"/>
    </row>
    <row r="273" spans="7:8" hidden="1" x14ac:dyDescent="0.2">
      <c r="G273" s="77"/>
      <c r="H273" s="83"/>
    </row>
    <row r="274" spans="7:8" hidden="1" x14ac:dyDescent="0.2">
      <c r="G274" s="77"/>
      <c r="H274" s="83"/>
    </row>
    <row r="275" spans="7:8" hidden="1" x14ac:dyDescent="0.2">
      <c r="G275" s="77"/>
      <c r="H275" s="83"/>
    </row>
    <row r="276" spans="7:8" hidden="1" x14ac:dyDescent="0.2">
      <c r="G276" s="77"/>
      <c r="H276" s="83"/>
    </row>
    <row r="277" spans="7:8" hidden="1" x14ac:dyDescent="0.2">
      <c r="G277" s="77"/>
      <c r="H277" s="83"/>
    </row>
    <row r="278" spans="7:8" hidden="1" x14ac:dyDescent="0.2">
      <c r="G278" s="77"/>
      <c r="H278" s="83"/>
    </row>
    <row r="279" spans="7:8" hidden="1" x14ac:dyDescent="0.2">
      <c r="G279" s="77"/>
      <c r="H279" s="83"/>
    </row>
    <row r="280" spans="7:8" hidden="1" x14ac:dyDescent="0.2">
      <c r="G280" s="77"/>
      <c r="H280" s="83"/>
    </row>
    <row r="281" spans="7:8" hidden="1" x14ac:dyDescent="0.2">
      <c r="G281" s="77"/>
      <c r="H281" s="83"/>
    </row>
    <row r="282" spans="7:8" hidden="1" x14ac:dyDescent="0.2">
      <c r="G282" s="77"/>
      <c r="H282" s="83"/>
    </row>
    <row r="283" spans="7:8" hidden="1" x14ac:dyDescent="0.2">
      <c r="G283" s="77"/>
      <c r="H283" s="83"/>
    </row>
    <row r="284" spans="7:8" hidden="1" x14ac:dyDescent="0.2">
      <c r="G284" s="77"/>
      <c r="H284" s="83"/>
    </row>
    <row r="285" spans="7:8" hidden="1" x14ac:dyDescent="0.2">
      <c r="G285" s="77"/>
      <c r="H285" s="83"/>
    </row>
    <row r="286" spans="7:8" hidden="1" x14ac:dyDescent="0.2">
      <c r="G286" s="77"/>
      <c r="H286" s="83"/>
    </row>
    <row r="287" spans="7:8" hidden="1" x14ac:dyDescent="0.2">
      <c r="G287" s="77"/>
      <c r="H287" s="83"/>
    </row>
    <row r="288" spans="7:8" hidden="1" x14ac:dyDescent="0.2">
      <c r="G288" s="77"/>
      <c r="H288" s="83"/>
    </row>
    <row r="289" spans="7:8" hidden="1" x14ac:dyDescent="0.2">
      <c r="G289" s="77"/>
      <c r="H289" s="83"/>
    </row>
    <row r="290" spans="7:8" hidden="1" x14ac:dyDescent="0.2">
      <c r="G290" s="77"/>
      <c r="H290" s="83"/>
    </row>
    <row r="291" spans="7:8" hidden="1" x14ac:dyDescent="0.2">
      <c r="G291" s="77"/>
      <c r="H291" s="83"/>
    </row>
    <row r="292" spans="7:8" hidden="1" x14ac:dyDescent="0.2">
      <c r="G292" s="77"/>
      <c r="H292" s="83"/>
    </row>
    <row r="293" spans="7:8" hidden="1" x14ac:dyDescent="0.2">
      <c r="G293" s="77"/>
      <c r="H293" s="83"/>
    </row>
    <row r="294" spans="7:8" hidden="1" x14ac:dyDescent="0.2">
      <c r="G294" s="77"/>
      <c r="H294" s="83"/>
    </row>
    <row r="295" spans="7:8" hidden="1" x14ac:dyDescent="0.2">
      <c r="G295" s="77"/>
      <c r="H295" s="83"/>
    </row>
    <row r="296" spans="7:8" hidden="1" x14ac:dyDescent="0.2">
      <c r="G296" s="77"/>
      <c r="H296" s="83"/>
    </row>
    <row r="297" spans="7:8" hidden="1" x14ac:dyDescent="0.2">
      <c r="G297" s="77"/>
      <c r="H297" s="83"/>
    </row>
    <row r="298" spans="7:8" hidden="1" x14ac:dyDescent="0.2">
      <c r="G298" s="77"/>
      <c r="H298" s="83"/>
    </row>
    <row r="299" spans="7:8" hidden="1" x14ac:dyDescent="0.2">
      <c r="G299" s="77"/>
      <c r="H299" s="83"/>
    </row>
    <row r="300" spans="7:8" hidden="1" x14ac:dyDescent="0.2">
      <c r="G300" s="77"/>
      <c r="H300" s="83"/>
    </row>
    <row r="301" spans="7:8" hidden="1" x14ac:dyDescent="0.2">
      <c r="G301" s="77"/>
      <c r="H301" s="83"/>
    </row>
    <row r="302" spans="7:8" hidden="1" x14ac:dyDescent="0.2">
      <c r="G302" s="77"/>
      <c r="H302" s="83"/>
    </row>
    <row r="303" spans="7:8" hidden="1" x14ac:dyDescent="0.2">
      <c r="G303" s="77"/>
      <c r="H303" s="83"/>
    </row>
    <row r="304" spans="7:8" hidden="1" x14ac:dyDescent="0.2">
      <c r="G304" s="77"/>
      <c r="H304" s="83"/>
    </row>
    <row r="305" spans="7:8" hidden="1" x14ac:dyDescent="0.2">
      <c r="G305" s="77"/>
      <c r="H305" s="83"/>
    </row>
    <row r="306" spans="7:8" hidden="1" x14ac:dyDescent="0.2">
      <c r="G306" s="77"/>
      <c r="H306" s="83"/>
    </row>
    <row r="307" spans="7:8" hidden="1" x14ac:dyDescent="0.2">
      <c r="G307" s="77"/>
      <c r="H307" s="83"/>
    </row>
    <row r="308" spans="7:8" hidden="1" x14ac:dyDescent="0.2">
      <c r="G308" s="77"/>
      <c r="H308" s="83"/>
    </row>
    <row r="309" spans="7:8" hidden="1" x14ac:dyDescent="0.2">
      <c r="G309" s="77"/>
      <c r="H309" s="83"/>
    </row>
    <row r="310" spans="7:8" hidden="1" x14ac:dyDescent="0.2">
      <c r="G310" s="77"/>
      <c r="H310" s="83"/>
    </row>
    <row r="311" spans="7:8" hidden="1" x14ac:dyDescent="0.2">
      <c r="G311" s="77"/>
      <c r="H311" s="83"/>
    </row>
    <row r="312" spans="7:8" hidden="1" x14ac:dyDescent="0.2">
      <c r="G312" s="77"/>
      <c r="H312" s="83"/>
    </row>
    <row r="313" spans="7:8" hidden="1" x14ac:dyDescent="0.2">
      <c r="G313" s="77"/>
      <c r="H313" s="83"/>
    </row>
    <row r="314" spans="7:8" hidden="1" x14ac:dyDescent="0.2">
      <c r="G314" s="77"/>
      <c r="H314" s="83"/>
    </row>
    <row r="315" spans="7:8" hidden="1" x14ac:dyDescent="0.2">
      <c r="G315" s="77"/>
      <c r="H315" s="83"/>
    </row>
    <row r="316" spans="7:8" hidden="1" x14ac:dyDescent="0.2">
      <c r="G316" s="77"/>
      <c r="H316" s="83"/>
    </row>
    <row r="317" spans="7:8" hidden="1" x14ac:dyDescent="0.2">
      <c r="G317" s="77"/>
      <c r="H317" s="83"/>
    </row>
    <row r="318" spans="7:8" hidden="1" x14ac:dyDescent="0.2">
      <c r="G318" s="77"/>
      <c r="H318" s="83"/>
    </row>
    <row r="319" spans="7:8" hidden="1" x14ac:dyDescent="0.2">
      <c r="G319" s="77"/>
      <c r="H319" s="83"/>
    </row>
    <row r="320" spans="7:8" hidden="1" x14ac:dyDescent="0.2">
      <c r="G320" s="77"/>
      <c r="H320" s="83"/>
    </row>
    <row r="321" spans="7:8" hidden="1" x14ac:dyDescent="0.2">
      <c r="G321" s="77"/>
      <c r="H321" s="83"/>
    </row>
    <row r="322" spans="7:8" hidden="1" x14ac:dyDescent="0.2">
      <c r="G322" s="77"/>
      <c r="H322" s="83"/>
    </row>
    <row r="323" spans="7:8" hidden="1" x14ac:dyDescent="0.2">
      <c r="G323" s="77"/>
      <c r="H323" s="83"/>
    </row>
    <row r="324" spans="7:8" hidden="1" x14ac:dyDescent="0.2">
      <c r="G324" s="77"/>
      <c r="H324" s="83"/>
    </row>
    <row r="325" spans="7:8" hidden="1" x14ac:dyDescent="0.2">
      <c r="G325" s="77"/>
      <c r="H325" s="83"/>
    </row>
    <row r="326" spans="7:8" hidden="1" x14ac:dyDescent="0.2">
      <c r="G326" s="77"/>
      <c r="H326" s="83"/>
    </row>
    <row r="327" spans="7:8" hidden="1" x14ac:dyDescent="0.2">
      <c r="G327" s="77"/>
      <c r="H327" s="83"/>
    </row>
    <row r="328" spans="7:8" hidden="1" x14ac:dyDescent="0.2">
      <c r="G328" s="77"/>
      <c r="H328" s="83"/>
    </row>
    <row r="329" spans="7:8" hidden="1" x14ac:dyDescent="0.2">
      <c r="G329" s="77"/>
      <c r="H329" s="83"/>
    </row>
    <row r="330" spans="7:8" hidden="1" x14ac:dyDescent="0.2">
      <c r="G330" s="77"/>
      <c r="H330" s="83"/>
    </row>
    <row r="331" spans="7:8" hidden="1" x14ac:dyDescent="0.2">
      <c r="G331" s="77"/>
      <c r="H331" s="83"/>
    </row>
    <row r="332" spans="7:8" hidden="1" x14ac:dyDescent="0.2">
      <c r="G332" s="77"/>
      <c r="H332" s="83"/>
    </row>
    <row r="333" spans="7:8" hidden="1" x14ac:dyDescent="0.2">
      <c r="G333" s="77"/>
      <c r="H333" s="83"/>
    </row>
    <row r="334" spans="7:8" hidden="1" x14ac:dyDescent="0.2">
      <c r="G334" s="77"/>
      <c r="H334" s="83"/>
    </row>
    <row r="335" spans="7:8" hidden="1" x14ac:dyDescent="0.2">
      <c r="G335" s="77"/>
      <c r="H335" s="83"/>
    </row>
    <row r="336" spans="7:8" hidden="1" x14ac:dyDescent="0.2">
      <c r="G336" s="77"/>
      <c r="H336" s="83"/>
    </row>
    <row r="337" spans="7:8" hidden="1" x14ac:dyDescent="0.2">
      <c r="G337" s="77"/>
      <c r="H337" s="83"/>
    </row>
    <row r="338" spans="7:8" hidden="1" x14ac:dyDescent="0.2">
      <c r="G338" s="77"/>
      <c r="H338" s="83"/>
    </row>
    <row r="339" spans="7:8" hidden="1" x14ac:dyDescent="0.2">
      <c r="G339" s="77"/>
      <c r="H339" s="83"/>
    </row>
    <row r="340" spans="7:8" hidden="1" x14ac:dyDescent="0.2">
      <c r="G340" s="77"/>
      <c r="H340" s="83"/>
    </row>
    <row r="341" spans="7:8" hidden="1" x14ac:dyDescent="0.2">
      <c r="G341" s="77"/>
      <c r="H341" s="83"/>
    </row>
    <row r="342" spans="7:8" hidden="1" x14ac:dyDescent="0.2">
      <c r="G342" s="77"/>
      <c r="H342" s="83"/>
    </row>
    <row r="343" spans="7:8" hidden="1" x14ac:dyDescent="0.2">
      <c r="G343" s="77"/>
      <c r="H343" s="83"/>
    </row>
    <row r="344" spans="7:8" hidden="1" x14ac:dyDescent="0.2">
      <c r="G344" s="77"/>
      <c r="H344" s="83"/>
    </row>
    <row r="345" spans="7:8" hidden="1" x14ac:dyDescent="0.2">
      <c r="G345" s="77"/>
      <c r="H345" s="83"/>
    </row>
    <row r="346" spans="7:8" hidden="1" x14ac:dyDescent="0.2">
      <c r="G346" s="77"/>
      <c r="H346" s="83"/>
    </row>
    <row r="347" spans="7:8" hidden="1" x14ac:dyDescent="0.2">
      <c r="G347" s="77"/>
      <c r="H347" s="83"/>
    </row>
    <row r="348" spans="7:8" hidden="1" x14ac:dyDescent="0.2">
      <c r="G348" s="77"/>
      <c r="H348" s="83"/>
    </row>
    <row r="349" spans="7:8" hidden="1" x14ac:dyDescent="0.2">
      <c r="G349" s="77"/>
      <c r="H349" s="83"/>
    </row>
    <row r="350" spans="7:8" hidden="1" x14ac:dyDescent="0.2">
      <c r="G350" s="77"/>
      <c r="H350" s="83"/>
    </row>
    <row r="351" spans="7:8" hidden="1" x14ac:dyDescent="0.2">
      <c r="G351" s="77"/>
      <c r="H351" s="83"/>
    </row>
    <row r="352" spans="7:8" hidden="1" x14ac:dyDescent="0.2">
      <c r="G352" s="77"/>
      <c r="H352" s="83"/>
    </row>
    <row r="353" spans="7:8" hidden="1" x14ac:dyDescent="0.2">
      <c r="G353" s="77"/>
      <c r="H353" s="83"/>
    </row>
    <row r="354" spans="7:8" hidden="1" x14ac:dyDescent="0.2">
      <c r="G354" s="77"/>
      <c r="H354" s="83"/>
    </row>
    <row r="355" spans="7:8" hidden="1" x14ac:dyDescent="0.2">
      <c r="G355" s="77"/>
      <c r="H355" s="83"/>
    </row>
    <row r="356" spans="7:8" hidden="1" x14ac:dyDescent="0.2">
      <c r="G356" s="77"/>
      <c r="H356" s="83"/>
    </row>
    <row r="357" spans="7:8" hidden="1" x14ac:dyDescent="0.2">
      <c r="G357" s="77"/>
      <c r="H357" s="83"/>
    </row>
    <row r="358" spans="7:8" hidden="1" x14ac:dyDescent="0.2">
      <c r="G358" s="77"/>
      <c r="H358" s="83"/>
    </row>
    <row r="359" spans="7:8" hidden="1" x14ac:dyDescent="0.2">
      <c r="G359" s="77"/>
      <c r="H359" s="83"/>
    </row>
    <row r="360" spans="7:8" hidden="1" x14ac:dyDescent="0.2">
      <c r="G360" s="77"/>
      <c r="H360" s="83"/>
    </row>
    <row r="361" spans="7:8" hidden="1" x14ac:dyDescent="0.2">
      <c r="G361" s="77"/>
      <c r="H361" s="83"/>
    </row>
    <row r="362" spans="7:8" hidden="1" x14ac:dyDescent="0.2">
      <c r="G362" s="77"/>
      <c r="H362" s="83"/>
    </row>
    <row r="363" spans="7:8" hidden="1" x14ac:dyDescent="0.2">
      <c r="G363" s="77"/>
      <c r="H363" s="83"/>
    </row>
    <row r="364" spans="7:8" hidden="1" x14ac:dyDescent="0.2">
      <c r="G364" s="77"/>
      <c r="H364" s="83"/>
    </row>
    <row r="365" spans="7:8" hidden="1" x14ac:dyDescent="0.2">
      <c r="G365" s="77"/>
      <c r="H365" s="83"/>
    </row>
    <row r="366" spans="7:8" hidden="1" x14ac:dyDescent="0.2">
      <c r="G366" s="77"/>
      <c r="H366" s="83"/>
    </row>
    <row r="367" spans="7:8" hidden="1" x14ac:dyDescent="0.2">
      <c r="G367" s="77"/>
      <c r="H367" s="83"/>
    </row>
    <row r="368" spans="7:8" hidden="1" x14ac:dyDescent="0.2">
      <c r="G368" s="77"/>
      <c r="H368" s="83"/>
    </row>
    <row r="369" spans="7:8" hidden="1" x14ac:dyDescent="0.2">
      <c r="G369" s="77"/>
      <c r="H369" s="83"/>
    </row>
    <row r="370" spans="7:8" hidden="1" x14ac:dyDescent="0.2">
      <c r="G370" s="77"/>
      <c r="H370" s="83"/>
    </row>
    <row r="371" spans="7:8" hidden="1" x14ac:dyDescent="0.2">
      <c r="G371" s="77"/>
      <c r="H371" s="83"/>
    </row>
    <row r="372" spans="7:8" hidden="1" x14ac:dyDescent="0.2">
      <c r="G372" s="77"/>
      <c r="H372" s="83"/>
    </row>
    <row r="373" spans="7:8" hidden="1" x14ac:dyDescent="0.2">
      <c r="G373" s="77"/>
      <c r="H373" s="83"/>
    </row>
    <row r="374" spans="7:8" hidden="1" x14ac:dyDescent="0.2">
      <c r="G374" s="77"/>
      <c r="H374" s="83"/>
    </row>
    <row r="375" spans="7:8" hidden="1" x14ac:dyDescent="0.2">
      <c r="G375" s="77"/>
      <c r="H375" s="83"/>
    </row>
    <row r="376" spans="7:8" hidden="1" x14ac:dyDescent="0.2">
      <c r="G376" s="77"/>
      <c r="H376" s="83"/>
    </row>
    <row r="377" spans="7:8" hidden="1" x14ac:dyDescent="0.2">
      <c r="G377" s="77"/>
      <c r="H377" s="83"/>
    </row>
    <row r="378" spans="7:8" hidden="1" x14ac:dyDescent="0.2">
      <c r="G378" s="77"/>
      <c r="H378" s="83"/>
    </row>
    <row r="379" spans="7:8" hidden="1" x14ac:dyDescent="0.2">
      <c r="G379" s="77"/>
      <c r="H379" s="83"/>
    </row>
    <row r="380" spans="7:8" hidden="1" x14ac:dyDescent="0.2">
      <c r="G380" s="77"/>
      <c r="H380" s="83"/>
    </row>
    <row r="381" spans="7:8" hidden="1" x14ac:dyDescent="0.2">
      <c r="G381" s="77"/>
      <c r="H381" s="83"/>
    </row>
    <row r="382" spans="7:8" hidden="1" x14ac:dyDescent="0.2">
      <c r="G382" s="77"/>
      <c r="H382" s="83"/>
    </row>
    <row r="383" spans="7:8" hidden="1" x14ac:dyDescent="0.2">
      <c r="G383" s="77"/>
      <c r="H383" s="83"/>
    </row>
    <row r="384" spans="7:8" hidden="1" x14ac:dyDescent="0.2">
      <c r="G384" s="77"/>
      <c r="H384" s="83"/>
    </row>
    <row r="385" spans="7:8" hidden="1" x14ac:dyDescent="0.2">
      <c r="G385" s="77"/>
      <c r="H385" s="83"/>
    </row>
    <row r="386" spans="7:8" hidden="1" x14ac:dyDescent="0.2">
      <c r="G386" s="77"/>
      <c r="H386" s="83"/>
    </row>
    <row r="387" spans="7:8" hidden="1" x14ac:dyDescent="0.2">
      <c r="G387" s="77"/>
      <c r="H387" s="83"/>
    </row>
    <row r="388" spans="7:8" hidden="1" x14ac:dyDescent="0.2">
      <c r="G388" s="77"/>
      <c r="H388" s="83"/>
    </row>
    <row r="389" spans="7:8" hidden="1" x14ac:dyDescent="0.2">
      <c r="G389" s="77"/>
      <c r="H389" s="83"/>
    </row>
    <row r="390" spans="7:8" hidden="1" x14ac:dyDescent="0.2">
      <c r="G390" s="77"/>
      <c r="H390" s="83"/>
    </row>
    <row r="391" spans="7:8" hidden="1" x14ac:dyDescent="0.2">
      <c r="G391" s="77"/>
      <c r="H391" s="83"/>
    </row>
    <row r="392" spans="7:8" hidden="1" x14ac:dyDescent="0.2">
      <c r="G392" s="77"/>
      <c r="H392" s="83"/>
    </row>
    <row r="393" spans="7:8" hidden="1" x14ac:dyDescent="0.2">
      <c r="G393" s="77"/>
      <c r="H393" s="83"/>
    </row>
    <row r="394" spans="7:8" hidden="1" x14ac:dyDescent="0.2">
      <c r="G394" s="77"/>
      <c r="H394" s="83"/>
    </row>
    <row r="395" spans="7:8" hidden="1" x14ac:dyDescent="0.2">
      <c r="G395" s="77"/>
      <c r="H395" s="83"/>
    </row>
    <row r="396" spans="7:8" hidden="1" x14ac:dyDescent="0.2">
      <c r="G396" s="77"/>
      <c r="H396" s="83"/>
    </row>
    <row r="397" spans="7:8" hidden="1" x14ac:dyDescent="0.2">
      <c r="G397" s="77"/>
      <c r="H397" s="83"/>
    </row>
    <row r="398" spans="7:8" hidden="1" x14ac:dyDescent="0.2">
      <c r="G398" s="77"/>
      <c r="H398" s="83"/>
    </row>
    <row r="399" spans="7:8" hidden="1" x14ac:dyDescent="0.2">
      <c r="G399" s="77"/>
      <c r="H399" s="83"/>
    </row>
    <row r="400" spans="7:8" hidden="1" x14ac:dyDescent="0.2">
      <c r="G400" s="77"/>
      <c r="H400" s="83"/>
    </row>
    <row r="401" spans="7:8" hidden="1" x14ac:dyDescent="0.2">
      <c r="G401" s="77"/>
      <c r="H401" s="83"/>
    </row>
    <row r="402" spans="7:8" hidden="1" x14ac:dyDescent="0.2">
      <c r="G402" s="77"/>
      <c r="H402" s="83"/>
    </row>
    <row r="403" spans="7:8" hidden="1" x14ac:dyDescent="0.2">
      <c r="G403" s="77"/>
      <c r="H403" s="83"/>
    </row>
    <row r="404" spans="7:8" hidden="1" x14ac:dyDescent="0.2">
      <c r="G404" s="77"/>
      <c r="H404" s="83"/>
    </row>
    <row r="405" spans="7:8" hidden="1" x14ac:dyDescent="0.2">
      <c r="G405" s="77"/>
      <c r="H405" s="83"/>
    </row>
    <row r="406" spans="7:8" hidden="1" x14ac:dyDescent="0.2">
      <c r="G406" s="77"/>
      <c r="H406" s="83"/>
    </row>
    <row r="407" spans="7:8" hidden="1" x14ac:dyDescent="0.2">
      <c r="G407" s="77"/>
      <c r="H407" s="83"/>
    </row>
    <row r="408" spans="7:8" hidden="1" x14ac:dyDescent="0.2">
      <c r="G408" s="77"/>
      <c r="H408" s="83"/>
    </row>
    <row r="409" spans="7:8" hidden="1" x14ac:dyDescent="0.2">
      <c r="G409" s="77"/>
      <c r="H409" s="83"/>
    </row>
    <row r="410" spans="7:8" hidden="1" x14ac:dyDescent="0.2">
      <c r="G410" s="77"/>
      <c r="H410" s="83"/>
    </row>
    <row r="411" spans="7:8" hidden="1" x14ac:dyDescent="0.2">
      <c r="G411" s="77"/>
      <c r="H411" s="83"/>
    </row>
    <row r="412" spans="7:8" hidden="1" x14ac:dyDescent="0.2">
      <c r="G412" s="77"/>
      <c r="H412" s="83"/>
    </row>
    <row r="413" spans="7:8" hidden="1" x14ac:dyDescent="0.2">
      <c r="G413" s="77"/>
      <c r="H413" s="83"/>
    </row>
    <row r="414" spans="7:8" hidden="1" x14ac:dyDescent="0.2">
      <c r="G414" s="77"/>
      <c r="H414" s="83"/>
    </row>
    <row r="415" spans="7:8" hidden="1" x14ac:dyDescent="0.2">
      <c r="G415" s="77"/>
      <c r="H415" s="83"/>
    </row>
    <row r="416" spans="7:8" hidden="1" x14ac:dyDescent="0.2">
      <c r="G416" s="77"/>
      <c r="H416" s="83"/>
    </row>
    <row r="417" spans="7:8" hidden="1" x14ac:dyDescent="0.2">
      <c r="G417" s="77"/>
      <c r="H417" s="83"/>
    </row>
    <row r="418" spans="7:8" hidden="1" x14ac:dyDescent="0.2">
      <c r="G418" s="77"/>
      <c r="H418" s="83"/>
    </row>
    <row r="419" spans="7:8" hidden="1" x14ac:dyDescent="0.2">
      <c r="G419" s="77"/>
      <c r="H419" s="83"/>
    </row>
    <row r="420" spans="7:8" hidden="1" x14ac:dyDescent="0.2">
      <c r="G420" s="77"/>
      <c r="H420" s="83"/>
    </row>
    <row r="421" spans="7:8" hidden="1" x14ac:dyDescent="0.2">
      <c r="G421" s="77"/>
      <c r="H421" s="83"/>
    </row>
    <row r="422" spans="7:8" hidden="1" x14ac:dyDescent="0.2">
      <c r="G422" s="77"/>
      <c r="H422" s="83"/>
    </row>
    <row r="423" spans="7:8" hidden="1" x14ac:dyDescent="0.2">
      <c r="G423" s="77"/>
      <c r="H423" s="83"/>
    </row>
    <row r="424" spans="7:8" hidden="1" x14ac:dyDescent="0.2">
      <c r="G424" s="77"/>
      <c r="H424" s="83"/>
    </row>
    <row r="425" spans="7:8" hidden="1" x14ac:dyDescent="0.2">
      <c r="G425" s="77"/>
      <c r="H425" s="83"/>
    </row>
    <row r="426" spans="7:8" hidden="1" x14ac:dyDescent="0.2">
      <c r="G426" s="77"/>
      <c r="H426" s="83"/>
    </row>
    <row r="427" spans="7:8" hidden="1" x14ac:dyDescent="0.2">
      <c r="G427" s="77"/>
      <c r="H427" s="83"/>
    </row>
    <row r="428" spans="7:8" hidden="1" x14ac:dyDescent="0.2">
      <c r="G428" s="77"/>
      <c r="H428" s="83"/>
    </row>
    <row r="429" spans="7:8" hidden="1" x14ac:dyDescent="0.2">
      <c r="G429" s="77"/>
      <c r="H429" s="83"/>
    </row>
    <row r="430" spans="7:8" hidden="1" x14ac:dyDescent="0.2">
      <c r="G430" s="77"/>
      <c r="H430" s="83"/>
    </row>
    <row r="431" spans="7:8" hidden="1" x14ac:dyDescent="0.2">
      <c r="G431" s="77"/>
      <c r="H431" s="83"/>
    </row>
    <row r="432" spans="7:8" hidden="1" x14ac:dyDescent="0.2">
      <c r="G432" s="77"/>
      <c r="H432" s="83"/>
    </row>
    <row r="433" spans="7:8" hidden="1" x14ac:dyDescent="0.2">
      <c r="G433" s="77"/>
      <c r="H433" s="83"/>
    </row>
    <row r="434" spans="7:8" hidden="1" x14ac:dyDescent="0.2">
      <c r="G434" s="77"/>
      <c r="H434" s="83"/>
    </row>
    <row r="435" spans="7:8" hidden="1" x14ac:dyDescent="0.2">
      <c r="G435" s="77"/>
      <c r="H435" s="83"/>
    </row>
    <row r="436" spans="7:8" hidden="1" x14ac:dyDescent="0.2">
      <c r="G436" s="77"/>
      <c r="H436" s="83"/>
    </row>
    <row r="437" spans="7:8" hidden="1" x14ac:dyDescent="0.2">
      <c r="G437" s="77"/>
      <c r="H437" s="83"/>
    </row>
    <row r="438" spans="7:8" hidden="1" x14ac:dyDescent="0.2">
      <c r="G438" s="77"/>
      <c r="H438" s="83"/>
    </row>
    <row r="439" spans="7:8" hidden="1" x14ac:dyDescent="0.2">
      <c r="G439" s="77"/>
      <c r="H439" s="83"/>
    </row>
    <row r="440" spans="7:8" hidden="1" x14ac:dyDescent="0.2">
      <c r="G440" s="77"/>
      <c r="H440" s="83"/>
    </row>
    <row r="441" spans="7:8" hidden="1" x14ac:dyDescent="0.2">
      <c r="G441" s="77"/>
      <c r="H441" s="83"/>
    </row>
    <row r="442" spans="7:8" hidden="1" x14ac:dyDescent="0.2">
      <c r="G442" s="77"/>
      <c r="H442" s="83"/>
    </row>
    <row r="443" spans="7:8" hidden="1" x14ac:dyDescent="0.2">
      <c r="G443" s="77"/>
      <c r="H443" s="83"/>
    </row>
    <row r="444" spans="7:8" hidden="1" x14ac:dyDescent="0.2">
      <c r="G444" s="77"/>
      <c r="H444" s="83"/>
    </row>
    <row r="445" spans="7:8" hidden="1" x14ac:dyDescent="0.2">
      <c r="G445" s="77"/>
      <c r="H445" s="83"/>
    </row>
    <row r="446" spans="7:8" hidden="1" x14ac:dyDescent="0.2">
      <c r="G446" s="77"/>
      <c r="H446" s="83"/>
    </row>
    <row r="447" spans="7:8" hidden="1" x14ac:dyDescent="0.2">
      <c r="G447" s="77"/>
      <c r="H447" s="83"/>
    </row>
    <row r="448" spans="7:8" hidden="1" x14ac:dyDescent="0.2">
      <c r="G448" s="77"/>
      <c r="H448" s="83"/>
    </row>
    <row r="449" spans="7:8" hidden="1" x14ac:dyDescent="0.2">
      <c r="G449" s="77"/>
      <c r="H449" s="83"/>
    </row>
    <row r="450" spans="7:8" hidden="1" x14ac:dyDescent="0.2">
      <c r="G450" s="77"/>
      <c r="H450" s="83"/>
    </row>
    <row r="451" spans="7:8" hidden="1" x14ac:dyDescent="0.2">
      <c r="G451" s="77"/>
      <c r="H451" s="83"/>
    </row>
    <row r="452" spans="7:8" hidden="1" x14ac:dyDescent="0.2">
      <c r="G452" s="77"/>
      <c r="H452" s="83"/>
    </row>
    <row r="453" spans="7:8" hidden="1" x14ac:dyDescent="0.2">
      <c r="G453" s="77"/>
      <c r="H453" s="83"/>
    </row>
    <row r="454" spans="7:8" hidden="1" x14ac:dyDescent="0.2">
      <c r="G454" s="77"/>
      <c r="H454" s="83"/>
    </row>
    <row r="455" spans="7:8" hidden="1" x14ac:dyDescent="0.2">
      <c r="G455" s="77"/>
      <c r="H455" s="83"/>
    </row>
    <row r="456" spans="7:8" hidden="1" x14ac:dyDescent="0.2">
      <c r="G456" s="77"/>
      <c r="H456" s="83"/>
    </row>
    <row r="457" spans="7:8" hidden="1" x14ac:dyDescent="0.2">
      <c r="G457" s="77"/>
      <c r="H457" s="83"/>
    </row>
    <row r="458" spans="7:8" hidden="1" x14ac:dyDescent="0.2">
      <c r="G458" s="77"/>
      <c r="H458" s="83"/>
    </row>
    <row r="459" spans="7:8" hidden="1" x14ac:dyDescent="0.2">
      <c r="G459" s="77"/>
      <c r="H459" s="83"/>
    </row>
    <row r="460" spans="7:8" hidden="1" x14ac:dyDescent="0.2">
      <c r="G460" s="77"/>
      <c r="H460" s="83"/>
    </row>
    <row r="461" spans="7:8" hidden="1" x14ac:dyDescent="0.2">
      <c r="G461" s="77"/>
      <c r="H461" s="83"/>
    </row>
    <row r="462" spans="7:8" hidden="1" x14ac:dyDescent="0.2">
      <c r="G462" s="77"/>
      <c r="H462" s="83"/>
    </row>
    <row r="463" spans="7:8" hidden="1" x14ac:dyDescent="0.2">
      <c r="G463" s="77"/>
      <c r="H463" s="83"/>
    </row>
    <row r="464" spans="7:8" hidden="1" x14ac:dyDescent="0.2">
      <c r="G464" s="77"/>
      <c r="H464" s="83"/>
    </row>
    <row r="465" spans="7:8" hidden="1" x14ac:dyDescent="0.2">
      <c r="G465" s="77"/>
      <c r="H465" s="83"/>
    </row>
    <row r="466" spans="7:8" hidden="1" x14ac:dyDescent="0.2">
      <c r="G466" s="77"/>
      <c r="H466" s="83"/>
    </row>
    <row r="467" spans="7:8" hidden="1" x14ac:dyDescent="0.2">
      <c r="G467" s="77"/>
      <c r="H467" s="83"/>
    </row>
    <row r="468" spans="7:8" hidden="1" x14ac:dyDescent="0.2">
      <c r="G468" s="77"/>
      <c r="H468" s="83"/>
    </row>
    <row r="469" spans="7:8" hidden="1" x14ac:dyDescent="0.2">
      <c r="G469" s="77"/>
      <c r="H469" s="83"/>
    </row>
    <row r="470" spans="7:8" hidden="1" x14ac:dyDescent="0.2">
      <c r="G470" s="77"/>
      <c r="H470" s="83"/>
    </row>
    <row r="471" spans="7:8" hidden="1" x14ac:dyDescent="0.2">
      <c r="G471" s="77"/>
      <c r="H471" s="83"/>
    </row>
    <row r="472" spans="7:8" hidden="1" x14ac:dyDescent="0.2">
      <c r="G472" s="77"/>
      <c r="H472" s="83"/>
    </row>
    <row r="473" spans="7:8" hidden="1" x14ac:dyDescent="0.2">
      <c r="G473" s="77"/>
      <c r="H473" s="83"/>
    </row>
    <row r="474" spans="7:8" hidden="1" x14ac:dyDescent="0.2">
      <c r="G474" s="77"/>
      <c r="H474" s="83"/>
    </row>
    <row r="475" spans="7:8" hidden="1" x14ac:dyDescent="0.2">
      <c r="G475" s="77"/>
      <c r="H475" s="83"/>
    </row>
    <row r="476" spans="7:8" hidden="1" x14ac:dyDescent="0.2">
      <c r="G476" s="77"/>
      <c r="H476" s="83"/>
    </row>
    <row r="477" spans="7:8" hidden="1" x14ac:dyDescent="0.2">
      <c r="G477" s="77"/>
      <c r="H477" s="83"/>
    </row>
    <row r="478" spans="7:8" hidden="1" x14ac:dyDescent="0.2">
      <c r="G478" s="77"/>
      <c r="H478" s="83"/>
    </row>
    <row r="479" spans="7:8" hidden="1" x14ac:dyDescent="0.2">
      <c r="G479" s="77"/>
      <c r="H479" s="83"/>
    </row>
    <row r="480" spans="7:8" hidden="1" x14ac:dyDescent="0.2">
      <c r="G480" s="77"/>
      <c r="H480" s="83"/>
    </row>
    <row r="481" spans="7:8" hidden="1" x14ac:dyDescent="0.2">
      <c r="G481" s="77"/>
      <c r="H481" s="83"/>
    </row>
    <row r="482" spans="7:8" hidden="1" x14ac:dyDescent="0.2">
      <c r="G482" s="77"/>
      <c r="H482" s="83"/>
    </row>
    <row r="483" spans="7:8" hidden="1" x14ac:dyDescent="0.2">
      <c r="G483" s="77"/>
      <c r="H483" s="83"/>
    </row>
    <row r="484" spans="7:8" hidden="1" x14ac:dyDescent="0.2">
      <c r="G484" s="77"/>
      <c r="H484" s="83"/>
    </row>
    <row r="485" spans="7:8" hidden="1" x14ac:dyDescent="0.2">
      <c r="G485" s="77"/>
      <c r="H485" s="83"/>
    </row>
    <row r="486" spans="7:8" hidden="1" x14ac:dyDescent="0.2">
      <c r="G486" s="77"/>
      <c r="H486" s="83"/>
    </row>
    <row r="487" spans="7:8" hidden="1" x14ac:dyDescent="0.2">
      <c r="G487" s="77"/>
      <c r="H487" s="83"/>
    </row>
    <row r="488" spans="7:8" hidden="1" x14ac:dyDescent="0.2">
      <c r="G488" s="77"/>
      <c r="H488" s="83"/>
    </row>
    <row r="489" spans="7:8" hidden="1" x14ac:dyDescent="0.2">
      <c r="G489" s="77"/>
      <c r="H489" s="83"/>
    </row>
    <row r="490" spans="7:8" hidden="1" x14ac:dyDescent="0.2">
      <c r="G490" s="77"/>
      <c r="H490" s="83"/>
    </row>
    <row r="491" spans="7:8" hidden="1" x14ac:dyDescent="0.2">
      <c r="G491" s="77"/>
      <c r="H491" s="83"/>
    </row>
    <row r="492" spans="7:8" hidden="1" x14ac:dyDescent="0.2">
      <c r="G492" s="77"/>
      <c r="H492" s="83"/>
    </row>
    <row r="493" spans="7:8" hidden="1" x14ac:dyDescent="0.2">
      <c r="G493" s="77"/>
      <c r="H493" s="83"/>
    </row>
    <row r="494" spans="7:8" hidden="1" x14ac:dyDescent="0.2">
      <c r="G494" s="77"/>
      <c r="H494" s="83"/>
    </row>
    <row r="495" spans="7:8" hidden="1" x14ac:dyDescent="0.2">
      <c r="G495" s="77"/>
      <c r="H495" s="83"/>
    </row>
    <row r="496" spans="7:8" hidden="1" x14ac:dyDescent="0.2">
      <c r="G496" s="77"/>
      <c r="H496" s="83"/>
    </row>
    <row r="497" spans="7:8" hidden="1" x14ac:dyDescent="0.2">
      <c r="G497" s="77"/>
      <c r="H497" s="83"/>
    </row>
    <row r="498" spans="7:8" hidden="1" x14ac:dyDescent="0.2">
      <c r="G498" s="77"/>
      <c r="H498" s="83"/>
    </row>
    <row r="499" spans="7:8" hidden="1" x14ac:dyDescent="0.2">
      <c r="G499" s="77"/>
      <c r="H499" s="83"/>
    </row>
    <row r="500" spans="7:8" hidden="1" x14ac:dyDescent="0.2">
      <c r="G500" s="77"/>
      <c r="H500" s="83"/>
    </row>
    <row r="501" spans="7:8" hidden="1" x14ac:dyDescent="0.2">
      <c r="G501" s="77"/>
      <c r="H501" s="83"/>
    </row>
    <row r="502" spans="7:8" hidden="1" x14ac:dyDescent="0.2">
      <c r="G502" s="77"/>
      <c r="H502" s="83"/>
    </row>
    <row r="503" spans="7:8" hidden="1" x14ac:dyDescent="0.2">
      <c r="G503" s="77"/>
      <c r="H503" s="83"/>
    </row>
    <row r="504" spans="7:8" hidden="1" x14ac:dyDescent="0.2">
      <c r="G504" s="77"/>
      <c r="H504" s="83"/>
    </row>
    <row r="505" spans="7:8" hidden="1" x14ac:dyDescent="0.2">
      <c r="G505" s="77"/>
      <c r="H505" s="83"/>
    </row>
    <row r="506" spans="7:8" hidden="1" x14ac:dyDescent="0.2">
      <c r="G506" s="77"/>
      <c r="H506" s="83"/>
    </row>
    <row r="507" spans="7:8" hidden="1" x14ac:dyDescent="0.2">
      <c r="G507" s="77"/>
      <c r="H507" s="83"/>
    </row>
    <row r="508" spans="7:8" hidden="1" x14ac:dyDescent="0.2">
      <c r="G508" s="77"/>
      <c r="H508" s="83"/>
    </row>
    <row r="509" spans="7:8" hidden="1" x14ac:dyDescent="0.2">
      <c r="G509" s="77"/>
      <c r="H509" s="83"/>
    </row>
    <row r="510" spans="7:8" hidden="1" x14ac:dyDescent="0.2">
      <c r="G510" s="77"/>
      <c r="H510" s="83"/>
    </row>
    <row r="511" spans="7:8" hidden="1" x14ac:dyDescent="0.2">
      <c r="G511" s="77"/>
      <c r="H511" s="83"/>
    </row>
    <row r="512" spans="7:8" hidden="1" x14ac:dyDescent="0.2">
      <c r="G512" s="77"/>
      <c r="H512" s="83"/>
    </row>
    <row r="513" spans="7:8" hidden="1" x14ac:dyDescent="0.2">
      <c r="G513" s="77"/>
      <c r="H513" s="83"/>
    </row>
    <row r="514" spans="7:8" hidden="1" x14ac:dyDescent="0.2">
      <c r="G514" s="77"/>
      <c r="H514" s="83"/>
    </row>
    <row r="515" spans="7:8" hidden="1" x14ac:dyDescent="0.2">
      <c r="G515" s="77"/>
      <c r="H515" s="83"/>
    </row>
    <row r="516" spans="7:8" hidden="1" x14ac:dyDescent="0.2">
      <c r="G516" s="77"/>
      <c r="H516" s="83"/>
    </row>
    <row r="517" spans="7:8" hidden="1" x14ac:dyDescent="0.2">
      <c r="G517" s="77"/>
      <c r="H517" s="83"/>
    </row>
    <row r="518" spans="7:8" hidden="1" x14ac:dyDescent="0.2">
      <c r="G518" s="77"/>
      <c r="H518" s="83"/>
    </row>
    <row r="519" spans="7:8" hidden="1" x14ac:dyDescent="0.2">
      <c r="G519" s="77"/>
      <c r="H519" s="83"/>
    </row>
    <row r="520" spans="7:8" hidden="1" x14ac:dyDescent="0.2">
      <c r="G520" s="77"/>
      <c r="H520" s="83"/>
    </row>
    <row r="521" spans="7:8" hidden="1" x14ac:dyDescent="0.2">
      <c r="G521" s="77"/>
      <c r="H521" s="83"/>
    </row>
    <row r="522" spans="7:8" hidden="1" x14ac:dyDescent="0.2">
      <c r="G522" s="77"/>
      <c r="H522" s="83"/>
    </row>
    <row r="523" spans="7:8" hidden="1" x14ac:dyDescent="0.2">
      <c r="G523" s="77"/>
      <c r="H523" s="83"/>
    </row>
    <row r="524" spans="7:8" hidden="1" x14ac:dyDescent="0.2">
      <c r="G524" s="77"/>
      <c r="H524" s="83"/>
    </row>
    <row r="525" spans="7:8" hidden="1" x14ac:dyDescent="0.2">
      <c r="G525" s="77"/>
      <c r="H525" s="83"/>
    </row>
    <row r="526" spans="7:8" hidden="1" x14ac:dyDescent="0.2">
      <c r="G526" s="77"/>
      <c r="H526" s="83"/>
    </row>
    <row r="527" spans="7:8" hidden="1" x14ac:dyDescent="0.2">
      <c r="G527" s="77"/>
      <c r="H527" s="83"/>
    </row>
    <row r="528" spans="7:8" hidden="1" x14ac:dyDescent="0.2">
      <c r="G528" s="77"/>
      <c r="H528" s="83"/>
    </row>
    <row r="529" spans="7:8" hidden="1" x14ac:dyDescent="0.2">
      <c r="G529" s="77"/>
      <c r="H529" s="83"/>
    </row>
    <row r="530" spans="7:8" hidden="1" x14ac:dyDescent="0.2">
      <c r="G530" s="77"/>
      <c r="H530" s="83"/>
    </row>
    <row r="531" spans="7:8" hidden="1" x14ac:dyDescent="0.2">
      <c r="G531" s="77"/>
      <c r="H531" s="83"/>
    </row>
    <row r="532" spans="7:8" hidden="1" x14ac:dyDescent="0.2">
      <c r="G532" s="77"/>
      <c r="H532" s="83"/>
    </row>
    <row r="533" spans="7:8" hidden="1" x14ac:dyDescent="0.2">
      <c r="G533" s="77"/>
      <c r="H533" s="83"/>
    </row>
    <row r="534" spans="7:8" hidden="1" x14ac:dyDescent="0.2">
      <c r="G534" s="77"/>
      <c r="H534" s="83"/>
    </row>
    <row r="535" spans="7:8" hidden="1" x14ac:dyDescent="0.2">
      <c r="G535" s="77"/>
      <c r="H535" s="83"/>
    </row>
    <row r="536" spans="7:8" hidden="1" x14ac:dyDescent="0.2">
      <c r="G536" s="77"/>
      <c r="H536" s="83"/>
    </row>
    <row r="537" spans="7:8" hidden="1" x14ac:dyDescent="0.2">
      <c r="G537" s="77"/>
      <c r="H537" s="83"/>
    </row>
    <row r="538" spans="7:8" hidden="1" x14ac:dyDescent="0.2">
      <c r="G538" s="77"/>
      <c r="H538" s="83"/>
    </row>
    <row r="539" spans="7:8" hidden="1" x14ac:dyDescent="0.2">
      <c r="G539" s="77"/>
      <c r="H539" s="83"/>
    </row>
    <row r="540" spans="7:8" hidden="1" x14ac:dyDescent="0.2">
      <c r="G540" s="77"/>
      <c r="H540" s="83"/>
    </row>
    <row r="541" spans="7:8" hidden="1" x14ac:dyDescent="0.2">
      <c r="G541" s="77"/>
      <c r="H541" s="83"/>
    </row>
    <row r="542" spans="7:8" hidden="1" x14ac:dyDescent="0.2">
      <c r="G542" s="77"/>
      <c r="H542" s="83"/>
    </row>
    <row r="543" spans="7:8" hidden="1" x14ac:dyDescent="0.2">
      <c r="G543" s="77"/>
      <c r="H543" s="83"/>
    </row>
    <row r="544" spans="7:8" hidden="1" x14ac:dyDescent="0.2">
      <c r="G544" s="77"/>
      <c r="H544" s="83"/>
    </row>
    <row r="545" spans="7:8" hidden="1" x14ac:dyDescent="0.2">
      <c r="G545" s="77"/>
      <c r="H545" s="83"/>
    </row>
    <row r="546" spans="7:8" hidden="1" x14ac:dyDescent="0.2">
      <c r="G546" s="77"/>
      <c r="H546" s="83"/>
    </row>
    <row r="547" spans="7:8" hidden="1" x14ac:dyDescent="0.2">
      <c r="G547" s="77"/>
      <c r="H547" s="83"/>
    </row>
    <row r="548" spans="7:8" hidden="1" x14ac:dyDescent="0.2">
      <c r="G548" s="77"/>
      <c r="H548" s="83"/>
    </row>
    <row r="549" spans="7:8" hidden="1" x14ac:dyDescent="0.2">
      <c r="G549" s="77"/>
      <c r="H549" s="83"/>
    </row>
    <row r="550" spans="7:8" hidden="1" x14ac:dyDescent="0.2">
      <c r="G550" s="77"/>
      <c r="H550" s="83"/>
    </row>
    <row r="551" spans="7:8" hidden="1" x14ac:dyDescent="0.2">
      <c r="G551" s="77"/>
      <c r="H551" s="83"/>
    </row>
    <row r="552" spans="7:8" hidden="1" x14ac:dyDescent="0.2">
      <c r="G552" s="77"/>
      <c r="H552" s="83"/>
    </row>
    <row r="553" spans="7:8" hidden="1" x14ac:dyDescent="0.2">
      <c r="G553" s="77"/>
      <c r="H553" s="83"/>
    </row>
    <row r="554" spans="7:8" hidden="1" x14ac:dyDescent="0.2">
      <c r="G554" s="77"/>
      <c r="H554" s="83"/>
    </row>
    <row r="555" spans="7:8" hidden="1" x14ac:dyDescent="0.2">
      <c r="G555" s="77"/>
      <c r="H555" s="83"/>
    </row>
    <row r="556" spans="7:8" hidden="1" x14ac:dyDescent="0.2">
      <c r="G556" s="77"/>
      <c r="H556" s="83"/>
    </row>
    <row r="557" spans="7:8" hidden="1" x14ac:dyDescent="0.2">
      <c r="G557" s="77"/>
      <c r="H557" s="83"/>
    </row>
    <row r="558" spans="7:8" hidden="1" x14ac:dyDescent="0.2">
      <c r="G558" s="77"/>
      <c r="H558" s="83"/>
    </row>
    <row r="559" spans="7:8" hidden="1" x14ac:dyDescent="0.2">
      <c r="G559" s="77"/>
      <c r="H559" s="83"/>
    </row>
    <row r="560" spans="7:8" hidden="1" x14ac:dyDescent="0.2">
      <c r="G560" s="77"/>
      <c r="H560" s="83"/>
    </row>
    <row r="561" spans="7:8" hidden="1" x14ac:dyDescent="0.2">
      <c r="G561" s="77"/>
      <c r="H561" s="83"/>
    </row>
    <row r="562" spans="7:8" hidden="1" x14ac:dyDescent="0.2">
      <c r="G562" s="77"/>
      <c r="H562" s="83"/>
    </row>
    <row r="563" spans="7:8" hidden="1" x14ac:dyDescent="0.2">
      <c r="G563" s="77"/>
      <c r="H563" s="83"/>
    </row>
    <row r="564" spans="7:8" hidden="1" x14ac:dyDescent="0.2">
      <c r="G564" s="77"/>
      <c r="H564" s="83"/>
    </row>
    <row r="565" spans="7:8" hidden="1" x14ac:dyDescent="0.2">
      <c r="G565" s="77"/>
      <c r="H565" s="83"/>
    </row>
    <row r="566" spans="7:8" hidden="1" x14ac:dyDescent="0.2">
      <c r="G566" s="77"/>
      <c r="H566" s="83"/>
    </row>
    <row r="567" spans="7:8" hidden="1" x14ac:dyDescent="0.2">
      <c r="G567" s="77"/>
      <c r="H567" s="83"/>
    </row>
    <row r="568" spans="7:8" hidden="1" x14ac:dyDescent="0.2">
      <c r="G568" s="77"/>
      <c r="H568" s="83"/>
    </row>
    <row r="569" spans="7:8" hidden="1" x14ac:dyDescent="0.2">
      <c r="G569" s="77"/>
      <c r="H569" s="83"/>
    </row>
    <row r="570" spans="7:8" hidden="1" x14ac:dyDescent="0.2">
      <c r="G570" s="77"/>
      <c r="H570" s="83"/>
    </row>
    <row r="571" spans="7:8" hidden="1" x14ac:dyDescent="0.2">
      <c r="G571" s="77"/>
      <c r="H571" s="83"/>
    </row>
    <row r="572" spans="7:8" hidden="1" x14ac:dyDescent="0.2">
      <c r="G572" s="77"/>
      <c r="H572" s="83"/>
    </row>
    <row r="573" spans="7:8" hidden="1" x14ac:dyDescent="0.2">
      <c r="G573" s="77"/>
      <c r="H573" s="83"/>
    </row>
    <row r="574" spans="7:8" hidden="1" x14ac:dyDescent="0.2">
      <c r="G574" s="77"/>
      <c r="H574" s="83"/>
    </row>
    <row r="575" spans="7:8" hidden="1" x14ac:dyDescent="0.2">
      <c r="G575" s="77"/>
      <c r="H575" s="83"/>
    </row>
    <row r="576" spans="7:8" hidden="1" x14ac:dyDescent="0.2">
      <c r="G576" s="77"/>
      <c r="H576" s="83"/>
    </row>
    <row r="577" spans="7:8" hidden="1" x14ac:dyDescent="0.2">
      <c r="G577" s="77"/>
      <c r="H577" s="83"/>
    </row>
    <row r="578" spans="7:8" hidden="1" x14ac:dyDescent="0.2">
      <c r="G578" s="77"/>
      <c r="H578" s="83"/>
    </row>
    <row r="579" spans="7:8" hidden="1" x14ac:dyDescent="0.2">
      <c r="G579" s="77"/>
      <c r="H579" s="83"/>
    </row>
    <row r="580" spans="7:8" hidden="1" x14ac:dyDescent="0.2">
      <c r="G580" s="77"/>
      <c r="H580" s="83"/>
    </row>
    <row r="581" spans="7:8" hidden="1" x14ac:dyDescent="0.2">
      <c r="G581" s="77"/>
      <c r="H581" s="83"/>
    </row>
    <row r="582" spans="7:8" hidden="1" x14ac:dyDescent="0.2">
      <c r="G582" s="77"/>
      <c r="H582" s="83"/>
    </row>
    <row r="583" spans="7:8" hidden="1" x14ac:dyDescent="0.2">
      <c r="G583" s="77"/>
      <c r="H583" s="83"/>
    </row>
    <row r="584" spans="7:8" hidden="1" x14ac:dyDescent="0.2">
      <c r="G584" s="77"/>
      <c r="H584" s="83"/>
    </row>
    <row r="585" spans="7:8" hidden="1" x14ac:dyDescent="0.2">
      <c r="G585" s="77"/>
      <c r="H585" s="83"/>
    </row>
    <row r="586" spans="7:8" hidden="1" x14ac:dyDescent="0.2">
      <c r="G586" s="77"/>
      <c r="H586" s="83"/>
    </row>
    <row r="587" spans="7:8" hidden="1" x14ac:dyDescent="0.2">
      <c r="G587" s="77"/>
      <c r="H587" s="83"/>
    </row>
    <row r="588" spans="7:8" hidden="1" x14ac:dyDescent="0.2">
      <c r="G588" s="77"/>
      <c r="H588" s="83"/>
    </row>
    <row r="589" spans="7:8" hidden="1" x14ac:dyDescent="0.2">
      <c r="G589" s="77"/>
      <c r="H589" s="83"/>
    </row>
    <row r="590" spans="7:8" hidden="1" x14ac:dyDescent="0.2">
      <c r="G590" s="77"/>
      <c r="H590" s="83"/>
    </row>
    <row r="591" spans="7:8" hidden="1" x14ac:dyDescent="0.2">
      <c r="G591" s="77"/>
      <c r="H591" s="83"/>
    </row>
    <row r="592" spans="7:8" hidden="1" x14ac:dyDescent="0.2">
      <c r="G592" s="77"/>
      <c r="H592" s="83"/>
    </row>
    <row r="593" spans="7:8" hidden="1" x14ac:dyDescent="0.2">
      <c r="G593" s="77"/>
      <c r="H593" s="83"/>
    </row>
    <row r="594" spans="7:8" hidden="1" x14ac:dyDescent="0.2">
      <c r="G594" s="77"/>
      <c r="H594" s="83"/>
    </row>
    <row r="595" spans="7:8" hidden="1" x14ac:dyDescent="0.2">
      <c r="G595" s="77"/>
      <c r="H595" s="83"/>
    </row>
    <row r="596" spans="7:8" hidden="1" x14ac:dyDescent="0.2">
      <c r="G596" s="77"/>
      <c r="H596" s="83"/>
    </row>
    <row r="597" spans="7:8" hidden="1" x14ac:dyDescent="0.2">
      <c r="G597" s="77"/>
      <c r="H597" s="83"/>
    </row>
    <row r="598" spans="7:8" hidden="1" x14ac:dyDescent="0.2">
      <c r="G598" s="77"/>
      <c r="H598" s="83"/>
    </row>
    <row r="599" spans="7:8" hidden="1" x14ac:dyDescent="0.2">
      <c r="G599" s="77"/>
      <c r="H599" s="83"/>
    </row>
    <row r="600" spans="7:8" hidden="1" x14ac:dyDescent="0.2">
      <c r="G600" s="77"/>
      <c r="H600" s="83"/>
    </row>
    <row r="601" spans="7:8" hidden="1" x14ac:dyDescent="0.2">
      <c r="G601" s="77"/>
      <c r="H601" s="83"/>
    </row>
    <row r="602" spans="7:8" hidden="1" x14ac:dyDescent="0.2">
      <c r="G602" s="77"/>
      <c r="H602" s="83"/>
    </row>
    <row r="603" spans="7:8" hidden="1" x14ac:dyDescent="0.2">
      <c r="G603" s="77"/>
      <c r="H603" s="83"/>
    </row>
    <row r="604" spans="7:8" hidden="1" x14ac:dyDescent="0.2">
      <c r="G604" s="77"/>
      <c r="H604" s="83"/>
    </row>
    <row r="605" spans="7:8" hidden="1" x14ac:dyDescent="0.2">
      <c r="G605" s="77"/>
      <c r="H605" s="83"/>
    </row>
    <row r="606" spans="7:8" hidden="1" x14ac:dyDescent="0.2">
      <c r="G606" s="77"/>
      <c r="H606" s="83"/>
    </row>
    <row r="607" spans="7:8" hidden="1" x14ac:dyDescent="0.2">
      <c r="G607" s="77"/>
      <c r="H607" s="83"/>
    </row>
    <row r="608" spans="7:8" hidden="1" x14ac:dyDescent="0.2">
      <c r="G608" s="77"/>
      <c r="H608" s="83"/>
    </row>
    <row r="609" spans="7:8" hidden="1" x14ac:dyDescent="0.2">
      <c r="G609" s="77"/>
      <c r="H609" s="83"/>
    </row>
    <row r="610" spans="7:8" hidden="1" x14ac:dyDescent="0.2">
      <c r="G610" s="77"/>
      <c r="H610" s="83"/>
    </row>
    <row r="611" spans="7:8" hidden="1" x14ac:dyDescent="0.2">
      <c r="G611" s="77"/>
      <c r="H611" s="83"/>
    </row>
    <row r="612" spans="7:8" hidden="1" x14ac:dyDescent="0.2">
      <c r="G612" s="77"/>
      <c r="H612" s="83"/>
    </row>
    <row r="613" spans="7:8" hidden="1" x14ac:dyDescent="0.2">
      <c r="G613" s="77"/>
      <c r="H613" s="83"/>
    </row>
    <row r="614" spans="7:8" hidden="1" x14ac:dyDescent="0.2">
      <c r="G614" s="77"/>
      <c r="H614" s="83"/>
    </row>
    <row r="615" spans="7:8" hidden="1" x14ac:dyDescent="0.2">
      <c r="G615" s="77"/>
      <c r="H615" s="83"/>
    </row>
    <row r="616" spans="7:8" hidden="1" x14ac:dyDescent="0.2">
      <c r="G616" s="77"/>
      <c r="H616" s="83"/>
    </row>
    <row r="617" spans="7:8" hidden="1" x14ac:dyDescent="0.2">
      <c r="G617" s="77"/>
      <c r="H617" s="83"/>
    </row>
    <row r="618" spans="7:8" hidden="1" x14ac:dyDescent="0.2">
      <c r="G618" s="77"/>
      <c r="H618" s="83"/>
    </row>
    <row r="619" spans="7:8" hidden="1" x14ac:dyDescent="0.2">
      <c r="G619" s="77"/>
      <c r="H619" s="83"/>
    </row>
    <row r="620" spans="7:8" hidden="1" x14ac:dyDescent="0.2">
      <c r="G620" s="77"/>
      <c r="H620" s="83"/>
    </row>
    <row r="621" spans="7:8" hidden="1" x14ac:dyDescent="0.2">
      <c r="G621" s="77"/>
      <c r="H621" s="83"/>
    </row>
    <row r="622" spans="7:8" hidden="1" x14ac:dyDescent="0.2">
      <c r="G622" s="77"/>
      <c r="H622" s="83"/>
    </row>
    <row r="623" spans="7:8" hidden="1" x14ac:dyDescent="0.2">
      <c r="G623" s="77"/>
      <c r="H623" s="83"/>
    </row>
    <row r="624" spans="7:8" hidden="1" x14ac:dyDescent="0.2">
      <c r="G624" s="77"/>
      <c r="H624" s="83"/>
    </row>
    <row r="625" spans="7:8" hidden="1" x14ac:dyDescent="0.2">
      <c r="G625" s="77"/>
      <c r="H625" s="83"/>
    </row>
    <row r="626" spans="7:8" hidden="1" x14ac:dyDescent="0.2">
      <c r="G626" s="77"/>
      <c r="H626" s="83"/>
    </row>
    <row r="627" spans="7:8" hidden="1" x14ac:dyDescent="0.2">
      <c r="G627" s="77"/>
      <c r="H627" s="83"/>
    </row>
    <row r="628" spans="7:8" hidden="1" x14ac:dyDescent="0.2">
      <c r="G628" s="77"/>
      <c r="H628" s="83"/>
    </row>
    <row r="629" spans="7:8" hidden="1" x14ac:dyDescent="0.2">
      <c r="G629" s="77"/>
      <c r="H629" s="83"/>
    </row>
    <row r="630" spans="7:8" hidden="1" x14ac:dyDescent="0.2">
      <c r="G630" s="77"/>
      <c r="H630" s="83"/>
    </row>
    <row r="631" spans="7:8" hidden="1" x14ac:dyDescent="0.2">
      <c r="G631" s="77"/>
      <c r="H631" s="83"/>
    </row>
    <row r="632" spans="7:8" hidden="1" x14ac:dyDescent="0.2">
      <c r="G632" s="77"/>
      <c r="H632" s="83"/>
    </row>
    <row r="633" spans="7:8" hidden="1" x14ac:dyDescent="0.2">
      <c r="G633" s="77"/>
      <c r="H633" s="83"/>
    </row>
    <row r="634" spans="7:8" hidden="1" x14ac:dyDescent="0.2">
      <c r="G634" s="77"/>
      <c r="H634" s="83"/>
    </row>
    <row r="635" spans="7:8" hidden="1" x14ac:dyDescent="0.2">
      <c r="G635" s="77"/>
      <c r="H635" s="83"/>
    </row>
    <row r="636" spans="7:8" hidden="1" x14ac:dyDescent="0.2">
      <c r="G636" s="77"/>
      <c r="H636" s="83"/>
    </row>
    <row r="637" spans="7:8" hidden="1" x14ac:dyDescent="0.2">
      <c r="G637" s="77"/>
      <c r="H637" s="83"/>
    </row>
    <row r="638" spans="7:8" hidden="1" x14ac:dyDescent="0.2">
      <c r="G638" s="77"/>
      <c r="H638" s="83"/>
    </row>
    <row r="639" spans="7:8" hidden="1" x14ac:dyDescent="0.2">
      <c r="G639" s="77"/>
      <c r="H639" s="83"/>
    </row>
    <row r="640" spans="7:8" hidden="1" x14ac:dyDescent="0.2">
      <c r="G640" s="77"/>
      <c r="H640" s="83"/>
    </row>
    <row r="641" spans="7:8" hidden="1" x14ac:dyDescent="0.2">
      <c r="G641" s="77"/>
      <c r="H641" s="83"/>
    </row>
    <row r="642" spans="7:8" hidden="1" x14ac:dyDescent="0.2">
      <c r="G642" s="77"/>
      <c r="H642" s="83"/>
    </row>
    <row r="643" spans="7:8" hidden="1" x14ac:dyDescent="0.2">
      <c r="G643" s="77"/>
      <c r="H643" s="83"/>
    </row>
    <row r="644" spans="7:8" hidden="1" x14ac:dyDescent="0.2">
      <c r="G644" s="77"/>
      <c r="H644" s="83"/>
    </row>
    <row r="645" spans="7:8" hidden="1" x14ac:dyDescent="0.2">
      <c r="G645" s="77"/>
      <c r="H645" s="83"/>
    </row>
    <row r="646" spans="7:8" hidden="1" x14ac:dyDescent="0.2">
      <c r="G646" s="77"/>
      <c r="H646" s="83"/>
    </row>
    <row r="647" spans="7:8" hidden="1" x14ac:dyDescent="0.2">
      <c r="G647" s="77"/>
      <c r="H647" s="83"/>
    </row>
    <row r="648" spans="7:8" hidden="1" x14ac:dyDescent="0.2">
      <c r="G648" s="77"/>
      <c r="H648" s="83"/>
    </row>
    <row r="649" spans="7:8" hidden="1" x14ac:dyDescent="0.2">
      <c r="G649" s="77"/>
      <c r="H649" s="83"/>
    </row>
    <row r="650" spans="7:8" hidden="1" x14ac:dyDescent="0.2">
      <c r="G650" s="77"/>
      <c r="H650" s="83"/>
    </row>
    <row r="651" spans="7:8" hidden="1" x14ac:dyDescent="0.2">
      <c r="G651" s="77"/>
      <c r="H651" s="83"/>
    </row>
    <row r="652" spans="7:8" hidden="1" x14ac:dyDescent="0.2">
      <c r="G652" s="77"/>
      <c r="H652" s="83"/>
    </row>
    <row r="653" spans="7:8" hidden="1" x14ac:dyDescent="0.2">
      <c r="G653" s="77"/>
      <c r="H653" s="83"/>
    </row>
    <row r="654" spans="7:8" hidden="1" x14ac:dyDescent="0.2">
      <c r="G654" s="77"/>
      <c r="H654" s="83"/>
    </row>
    <row r="655" spans="7:8" hidden="1" x14ac:dyDescent="0.2">
      <c r="G655" s="77"/>
      <c r="H655" s="83"/>
    </row>
    <row r="656" spans="7:8" hidden="1" x14ac:dyDescent="0.2">
      <c r="G656" s="77"/>
      <c r="H656" s="83"/>
    </row>
    <row r="657" spans="7:8" hidden="1" x14ac:dyDescent="0.2">
      <c r="G657" s="77"/>
      <c r="H657" s="83"/>
    </row>
    <row r="658" spans="7:8" hidden="1" x14ac:dyDescent="0.2">
      <c r="G658" s="77"/>
      <c r="H658" s="83"/>
    </row>
    <row r="659" spans="7:8" hidden="1" x14ac:dyDescent="0.2">
      <c r="G659" s="77"/>
      <c r="H659" s="83"/>
    </row>
    <row r="660" spans="7:8" hidden="1" x14ac:dyDescent="0.2">
      <c r="G660" s="77"/>
      <c r="H660" s="83"/>
    </row>
    <row r="661" spans="7:8" hidden="1" x14ac:dyDescent="0.2">
      <c r="G661" s="77"/>
      <c r="H661" s="83"/>
    </row>
    <row r="662" spans="7:8" hidden="1" x14ac:dyDescent="0.2">
      <c r="G662" s="77"/>
      <c r="H662" s="83"/>
    </row>
    <row r="663" spans="7:8" hidden="1" x14ac:dyDescent="0.2">
      <c r="G663" s="77"/>
      <c r="H663" s="83"/>
    </row>
    <row r="664" spans="7:8" hidden="1" x14ac:dyDescent="0.2">
      <c r="G664" s="77"/>
      <c r="H664" s="83"/>
    </row>
    <row r="665" spans="7:8" hidden="1" x14ac:dyDescent="0.2">
      <c r="G665" s="77"/>
      <c r="H665" s="83"/>
    </row>
    <row r="666" spans="7:8" hidden="1" x14ac:dyDescent="0.2">
      <c r="G666" s="77"/>
      <c r="H666" s="83"/>
    </row>
    <row r="667" spans="7:8" hidden="1" x14ac:dyDescent="0.2">
      <c r="G667" s="77"/>
      <c r="H667" s="83"/>
    </row>
    <row r="668" spans="7:8" hidden="1" x14ac:dyDescent="0.2">
      <c r="G668" s="77"/>
      <c r="H668" s="83"/>
    </row>
    <row r="669" spans="7:8" hidden="1" x14ac:dyDescent="0.2">
      <c r="G669" s="77"/>
      <c r="H669" s="83"/>
    </row>
    <row r="670" spans="7:8" hidden="1" x14ac:dyDescent="0.2">
      <c r="G670" s="77"/>
      <c r="H670" s="83"/>
    </row>
    <row r="671" spans="7:8" hidden="1" x14ac:dyDescent="0.2">
      <c r="G671" s="77"/>
      <c r="H671" s="83"/>
    </row>
    <row r="672" spans="7:8" hidden="1" x14ac:dyDescent="0.2">
      <c r="G672" s="77"/>
      <c r="H672" s="83"/>
    </row>
    <row r="673" spans="7:8" hidden="1" x14ac:dyDescent="0.2">
      <c r="G673" s="77"/>
      <c r="H673" s="83"/>
    </row>
    <row r="674" spans="7:8" hidden="1" x14ac:dyDescent="0.2">
      <c r="G674" s="77"/>
      <c r="H674" s="83"/>
    </row>
    <row r="675" spans="7:8" hidden="1" x14ac:dyDescent="0.2">
      <c r="G675" s="77"/>
      <c r="H675" s="83"/>
    </row>
    <row r="676" spans="7:8" hidden="1" x14ac:dyDescent="0.2">
      <c r="G676" s="77"/>
      <c r="H676" s="83"/>
    </row>
    <row r="677" spans="7:8" hidden="1" x14ac:dyDescent="0.2">
      <c r="G677" s="77"/>
      <c r="H677" s="83"/>
    </row>
    <row r="678" spans="7:8" hidden="1" x14ac:dyDescent="0.2">
      <c r="G678" s="77"/>
      <c r="H678" s="83"/>
    </row>
    <row r="679" spans="7:8" hidden="1" x14ac:dyDescent="0.2">
      <c r="G679" s="77"/>
      <c r="H679" s="83"/>
    </row>
    <row r="680" spans="7:8" hidden="1" x14ac:dyDescent="0.2">
      <c r="G680" s="77"/>
      <c r="H680" s="83"/>
    </row>
    <row r="681" spans="7:8" hidden="1" x14ac:dyDescent="0.2">
      <c r="G681" s="77"/>
      <c r="H681" s="83"/>
    </row>
    <row r="682" spans="7:8" hidden="1" x14ac:dyDescent="0.2">
      <c r="G682" s="77"/>
      <c r="H682" s="83"/>
    </row>
    <row r="683" spans="7:8" hidden="1" x14ac:dyDescent="0.2">
      <c r="G683" s="77"/>
      <c r="H683" s="83"/>
    </row>
    <row r="684" spans="7:8" hidden="1" x14ac:dyDescent="0.2">
      <c r="G684" s="77"/>
      <c r="H684" s="83"/>
    </row>
    <row r="685" spans="7:8" hidden="1" x14ac:dyDescent="0.2">
      <c r="G685" s="77"/>
      <c r="H685" s="83"/>
    </row>
    <row r="686" spans="7:8" hidden="1" x14ac:dyDescent="0.2">
      <c r="G686" s="77"/>
      <c r="H686" s="83"/>
    </row>
    <row r="687" spans="7:8" hidden="1" x14ac:dyDescent="0.2">
      <c r="G687" s="77"/>
      <c r="H687" s="83"/>
    </row>
    <row r="688" spans="7:8" hidden="1" x14ac:dyDescent="0.2">
      <c r="G688" s="77"/>
      <c r="H688" s="83"/>
    </row>
    <row r="689" spans="7:8" hidden="1" x14ac:dyDescent="0.2">
      <c r="G689" s="77"/>
      <c r="H689" s="83"/>
    </row>
    <row r="690" spans="7:8" hidden="1" x14ac:dyDescent="0.2">
      <c r="G690" s="77"/>
      <c r="H690" s="83"/>
    </row>
    <row r="691" spans="7:8" hidden="1" x14ac:dyDescent="0.2">
      <c r="G691" s="77"/>
      <c r="H691" s="83"/>
    </row>
    <row r="692" spans="7:8" hidden="1" x14ac:dyDescent="0.2">
      <c r="G692" s="77"/>
      <c r="H692" s="83"/>
    </row>
    <row r="693" spans="7:8" hidden="1" x14ac:dyDescent="0.2">
      <c r="G693" s="77"/>
      <c r="H693" s="83"/>
    </row>
    <row r="694" spans="7:8" hidden="1" x14ac:dyDescent="0.2">
      <c r="G694" s="77"/>
      <c r="H694" s="83"/>
    </row>
    <row r="695" spans="7:8" hidden="1" x14ac:dyDescent="0.2">
      <c r="G695" s="77"/>
      <c r="H695" s="83"/>
    </row>
    <row r="696" spans="7:8" hidden="1" x14ac:dyDescent="0.2">
      <c r="G696" s="77"/>
      <c r="H696" s="83"/>
    </row>
    <row r="697" spans="7:8" hidden="1" x14ac:dyDescent="0.2">
      <c r="G697" s="77"/>
      <c r="H697" s="83"/>
    </row>
    <row r="698" spans="7:8" hidden="1" x14ac:dyDescent="0.2">
      <c r="G698" s="77"/>
      <c r="H698" s="83"/>
    </row>
    <row r="699" spans="7:8" hidden="1" x14ac:dyDescent="0.2">
      <c r="G699" s="77"/>
      <c r="H699" s="83"/>
    </row>
    <row r="700" spans="7:8" hidden="1" x14ac:dyDescent="0.2">
      <c r="G700" s="77"/>
      <c r="H700" s="83"/>
    </row>
    <row r="701" spans="7:8" hidden="1" x14ac:dyDescent="0.2">
      <c r="G701" s="77"/>
      <c r="H701" s="83"/>
    </row>
    <row r="702" spans="7:8" hidden="1" x14ac:dyDescent="0.2">
      <c r="G702" s="77"/>
      <c r="H702" s="83"/>
    </row>
    <row r="703" spans="7:8" hidden="1" x14ac:dyDescent="0.2">
      <c r="G703" s="77"/>
      <c r="H703" s="83"/>
    </row>
    <row r="704" spans="7:8" hidden="1" x14ac:dyDescent="0.2">
      <c r="G704" s="77"/>
      <c r="H704" s="83"/>
    </row>
    <row r="705" spans="7:8" hidden="1" x14ac:dyDescent="0.2">
      <c r="G705" s="77"/>
      <c r="H705" s="83"/>
    </row>
    <row r="706" spans="7:8" hidden="1" x14ac:dyDescent="0.2">
      <c r="G706" s="77"/>
      <c r="H706" s="83"/>
    </row>
    <row r="707" spans="7:8" hidden="1" x14ac:dyDescent="0.2">
      <c r="G707" s="77"/>
      <c r="H707" s="83"/>
    </row>
    <row r="708" spans="7:8" hidden="1" x14ac:dyDescent="0.2">
      <c r="G708" s="77"/>
      <c r="H708" s="83"/>
    </row>
    <row r="709" spans="7:8" hidden="1" x14ac:dyDescent="0.2">
      <c r="G709" s="77"/>
      <c r="H709" s="83"/>
    </row>
    <row r="710" spans="7:8" hidden="1" x14ac:dyDescent="0.2">
      <c r="G710" s="77"/>
      <c r="H710" s="83"/>
    </row>
    <row r="711" spans="7:8" hidden="1" x14ac:dyDescent="0.2">
      <c r="G711" s="77"/>
      <c r="H711" s="83"/>
    </row>
    <row r="712" spans="7:8" hidden="1" x14ac:dyDescent="0.2">
      <c r="G712" s="77"/>
      <c r="H712" s="83"/>
    </row>
    <row r="713" spans="7:8" hidden="1" x14ac:dyDescent="0.2">
      <c r="G713" s="77"/>
      <c r="H713" s="83"/>
    </row>
    <row r="714" spans="7:8" hidden="1" x14ac:dyDescent="0.2">
      <c r="G714" s="77"/>
      <c r="H714" s="83"/>
    </row>
    <row r="715" spans="7:8" hidden="1" x14ac:dyDescent="0.2">
      <c r="G715" s="77"/>
      <c r="H715" s="83"/>
    </row>
    <row r="716" spans="7:8" hidden="1" x14ac:dyDescent="0.2">
      <c r="G716" s="77"/>
      <c r="H716" s="83"/>
    </row>
    <row r="717" spans="7:8" hidden="1" x14ac:dyDescent="0.2">
      <c r="G717" s="77"/>
      <c r="H717" s="83"/>
    </row>
    <row r="718" spans="7:8" hidden="1" x14ac:dyDescent="0.2">
      <c r="G718" s="77"/>
      <c r="H718" s="83"/>
    </row>
    <row r="719" spans="7:8" hidden="1" x14ac:dyDescent="0.2">
      <c r="G719" s="77"/>
      <c r="H719" s="83"/>
    </row>
    <row r="720" spans="7:8" hidden="1" x14ac:dyDescent="0.2">
      <c r="G720" s="77"/>
      <c r="H720" s="83"/>
    </row>
    <row r="721" spans="7:8" hidden="1" x14ac:dyDescent="0.2">
      <c r="G721" s="77"/>
      <c r="H721" s="83"/>
    </row>
    <row r="722" spans="7:8" hidden="1" x14ac:dyDescent="0.2">
      <c r="G722" s="77"/>
      <c r="H722" s="83"/>
    </row>
    <row r="723" spans="7:8" hidden="1" x14ac:dyDescent="0.2">
      <c r="G723" s="77"/>
      <c r="H723" s="83"/>
    </row>
    <row r="724" spans="7:8" hidden="1" x14ac:dyDescent="0.2">
      <c r="G724" s="77"/>
      <c r="H724" s="83"/>
    </row>
    <row r="725" spans="7:8" hidden="1" x14ac:dyDescent="0.2">
      <c r="G725" s="77"/>
      <c r="H725" s="83"/>
    </row>
    <row r="726" spans="7:8" hidden="1" x14ac:dyDescent="0.2">
      <c r="G726" s="77"/>
      <c r="H726" s="83"/>
    </row>
    <row r="727" spans="7:8" hidden="1" x14ac:dyDescent="0.2">
      <c r="G727" s="77"/>
      <c r="H727" s="83"/>
    </row>
    <row r="728" spans="7:8" hidden="1" x14ac:dyDescent="0.2">
      <c r="G728" s="77"/>
      <c r="H728" s="83"/>
    </row>
    <row r="729" spans="7:8" hidden="1" x14ac:dyDescent="0.2">
      <c r="G729" s="77"/>
      <c r="H729" s="83"/>
    </row>
    <row r="730" spans="7:8" hidden="1" x14ac:dyDescent="0.2">
      <c r="G730" s="77"/>
      <c r="H730" s="83"/>
    </row>
    <row r="731" spans="7:8" hidden="1" x14ac:dyDescent="0.2">
      <c r="G731" s="77"/>
      <c r="H731" s="83"/>
    </row>
    <row r="732" spans="7:8" hidden="1" x14ac:dyDescent="0.2">
      <c r="G732" s="77"/>
      <c r="H732" s="83"/>
    </row>
    <row r="733" spans="7:8" hidden="1" x14ac:dyDescent="0.2">
      <c r="G733" s="77"/>
      <c r="H733" s="83"/>
    </row>
    <row r="734" spans="7:8" hidden="1" x14ac:dyDescent="0.2">
      <c r="G734" s="77"/>
      <c r="H734" s="83"/>
    </row>
    <row r="735" spans="7:8" hidden="1" x14ac:dyDescent="0.2">
      <c r="G735" s="77"/>
      <c r="H735" s="83"/>
    </row>
    <row r="736" spans="7:8" hidden="1" x14ac:dyDescent="0.2">
      <c r="G736" s="77"/>
      <c r="H736" s="83"/>
    </row>
    <row r="737" spans="7:8" hidden="1" x14ac:dyDescent="0.2">
      <c r="G737" s="77"/>
      <c r="H737" s="83"/>
    </row>
    <row r="738" spans="7:8" hidden="1" x14ac:dyDescent="0.2">
      <c r="G738" s="77"/>
      <c r="H738" s="83"/>
    </row>
    <row r="739" spans="7:8" hidden="1" x14ac:dyDescent="0.2">
      <c r="G739" s="77"/>
      <c r="H739" s="83"/>
    </row>
    <row r="740" spans="7:8" hidden="1" x14ac:dyDescent="0.2">
      <c r="G740" s="77"/>
      <c r="H740" s="83"/>
    </row>
    <row r="741" spans="7:8" hidden="1" x14ac:dyDescent="0.2">
      <c r="G741" s="77"/>
      <c r="H741" s="83"/>
    </row>
    <row r="742" spans="7:8" hidden="1" x14ac:dyDescent="0.2">
      <c r="G742" s="77"/>
      <c r="H742" s="83"/>
    </row>
    <row r="743" spans="7:8" hidden="1" x14ac:dyDescent="0.2">
      <c r="G743" s="77"/>
      <c r="H743" s="83"/>
    </row>
    <row r="744" spans="7:8" hidden="1" x14ac:dyDescent="0.2">
      <c r="G744" s="77"/>
      <c r="H744" s="83"/>
    </row>
    <row r="745" spans="7:8" hidden="1" x14ac:dyDescent="0.2">
      <c r="G745" s="77"/>
      <c r="H745" s="83"/>
    </row>
    <row r="746" spans="7:8" hidden="1" x14ac:dyDescent="0.2">
      <c r="G746" s="77"/>
      <c r="H746" s="83"/>
    </row>
    <row r="747" spans="7:8" hidden="1" x14ac:dyDescent="0.2">
      <c r="G747" s="77"/>
      <c r="H747" s="83"/>
    </row>
    <row r="748" spans="7:8" hidden="1" x14ac:dyDescent="0.2">
      <c r="G748" s="77"/>
      <c r="H748" s="83"/>
    </row>
    <row r="749" spans="7:8" hidden="1" x14ac:dyDescent="0.2">
      <c r="G749" s="77"/>
      <c r="H749" s="83"/>
    </row>
    <row r="750" spans="7:8" hidden="1" x14ac:dyDescent="0.2">
      <c r="G750" s="77"/>
      <c r="H750" s="83"/>
    </row>
    <row r="751" spans="7:8" hidden="1" x14ac:dyDescent="0.2">
      <c r="G751" s="77"/>
      <c r="H751" s="83"/>
    </row>
    <row r="752" spans="7:8" hidden="1" x14ac:dyDescent="0.2">
      <c r="G752" s="77"/>
      <c r="H752" s="83"/>
    </row>
    <row r="753" spans="7:8" hidden="1" x14ac:dyDescent="0.2">
      <c r="G753" s="77"/>
      <c r="H753" s="83"/>
    </row>
    <row r="754" spans="7:8" hidden="1" x14ac:dyDescent="0.2">
      <c r="G754" s="77"/>
      <c r="H754" s="83"/>
    </row>
    <row r="755" spans="7:8" hidden="1" x14ac:dyDescent="0.2">
      <c r="G755" s="77"/>
      <c r="H755" s="83"/>
    </row>
    <row r="756" spans="7:8" hidden="1" x14ac:dyDescent="0.2">
      <c r="G756" s="77"/>
      <c r="H756" s="83"/>
    </row>
    <row r="757" spans="7:8" hidden="1" x14ac:dyDescent="0.2">
      <c r="G757" s="77"/>
      <c r="H757" s="83"/>
    </row>
    <row r="758" spans="7:8" hidden="1" x14ac:dyDescent="0.2">
      <c r="G758" s="77"/>
      <c r="H758" s="83"/>
    </row>
    <row r="759" spans="7:8" hidden="1" x14ac:dyDescent="0.2">
      <c r="G759" s="77"/>
      <c r="H759" s="83"/>
    </row>
    <row r="760" spans="7:8" hidden="1" x14ac:dyDescent="0.2">
      <c r="G760" s="77"/>
      <c r="H760" s="83"/>
    </row>
    <row r="761" spans="7:8" hidden="1" x14ac:dyDescent="0.2">
      <c r="G761" s="77"/>
      <c r="H761" s="83"/>
    </row>
    <row r="762" spans="7:8" hidden="1" x14ac:dyDescent="0.2">
      <c r="G762" s="77"/>
      <c r="H762" s="83"/>
    </row>
    <row r="763" spans="7:8" hidden="1" x14ac:dyDescent="0.2">
      <c r="G763" s="77"/>
      <c r="H763" s="83"/>
    </row>
    <row r="764" spans="7:8" hidden="1" x14ac:dyDescent="0.2">
      <c r="G764" s="77"/>
      <c r="H764" s="83"/>
    </row>
    <row r="765" spans="7:8" hidden="1" x14ac:dyDescent="0.2">
      <c r="G765" s="77"/>
      <c r="H765" s="83"/>
    </row>
    <row r="766" spans="7:8" hidden="1" x14ac:dyDescent="0.2">
      <c r="G766" s="77"/>
      <c r="H766" s="83"/>
    </row>
    <row r="767" spans="7:8" hidden="1" x14ac:dyDescent="0.2">
      <c r="G767" s="77"/>
      <c r="H767" s="83"/>
    </row>
    <row r="768" spans="7:8" hidden="1" x14ac:dyDescent="0.2">
      <c r="G768" s="77"/>
      <c r="H768" s="83"/>
    </row>
    <row r="769" spans="7:8" hidden="1" x14ac:dyDescent="0.2">
      <c r="G769" s="77"/>
      <c r="H769" s="83"/>
    </row>
    <row r="770" spans="7:8" hidden="1" x14ac:dyDescent="0.2">
      <c r="G770" s="77"/>
      <c r="H770" s="83"/>
    </row>
    <row r="771" spans="7:8" hidden="1" x14ac:dyDescent="0.2">
      <c r="G771" s="77"/>
      <c r="H771" s="83"/>
    </row>
    <row r="772" spans="7:8" hidden="1" x14ac:dyDescent="0.2">
      <c r="G772" s="77"/>
      <c r="H772" s="83"/>
    </row>
    <row r="773" spans="7:8" hidden="1" x14ac:dyDescent="0.2">
      <c r="G773" s="77"/>
      <c r="H773" s="83"/>
    </row>
    <row r="774" spans="7:8" hidden="1" x14ac:dyDescent="0.2">
      <c r="G774" s="77"/>
      <c r="H774" s="83"/>
    </row>
    <row r="775" spans="7:8" hidden="1" x14ac:dyDescent="0.2">
      <c r="G775" s="77"/>
      <c r="H775" s="83"/>
    </row>
    <row r="776" spans="7:8" hidden="1" x14ac:dyDescent="0.2">
      <c r="G776" s="77"/>
      <c r="H776" s="83"/>
    </row>
    <row r="777" spans="7:8" hidden="1" x14ac:dyDescent="0.2">
      <c r="G777" s="77"/>
      <c r="H777" s="83"/>
    </row>
    <row r="778" spans="7:8" hidden="1" x14ac:dyDescent="0.2">
      <c r="G778" s="77"/>
      <c r="H778" s="83"/>
    </row>
    <row r="779" spans="7:8" hidden="1" x14ac:dyDescent="0.2">
      <c r="G779" s="77"/>
      <c r="H779" s="83"/>
    </row>
    <row r="780" spans="7:8" hidden="1" x14ac:dyDescent="0.2">
      <c r="G780" s="77"/>
      <c r="H780" s="83"/>
    </row>
    <row r="781" spans="7:8" hidden="1" x14ac:dyDescent="0.2">
      <c r="G781" s="77"/>
      <c r="H781" s="83"/>
    </row>
    <row r="782" spans="7:8" hidden="1" x14ac:dyDescent="0.2">
      <c r="G782" s="77"/>
      <c r="H782" s="83"/>
    </row>
    <row r="783" spans="7:8" hidden="1" x14ac:dyDescent="0.2">
      <c r="G783" s="77"/>
      <c r="H783" s="83"/>
    </row>
    <row r="784" spans="7:8" hidden="1" x14ac:dyDescent="0.2">
      <c r="G784" s="77"/>
      <c r="H784" s="83"/>
    </row>
    <row r="785" spans="7:8" hidden="1" x14ac:dyDescent="0.2">
      <c r="G785" s="77"/>
      <c r="H785" s="83"/>
    </row>
    <row r="786" spans="7:8" hidden="1" x14ac:dyDescent="0.2">
      <c r="G786" s="77"/>
      <c r="H786" s="83"/>
    </row>
    <row r="787" spans="7:8" hidden="1" x14ac:dyDescent="0.2">
      <c r="G787" s="77"/>
      <c r="H787" s="83"/>
    </row>
    <row r="788" spans="7:8" hidden="1" x14ac:dyDescent="0.2">
      <c r="G788" s="77"/>
      <c r="H788" s="83"/>
    </row>
    <row r="789" spans="7:8" hidden="1" x14ac:dyDescent="0.2">
      <c r="G789" s="77"/>
      <c r="H789" s="83"/>
    </row>
    <row r="790" spans="7:8" hidden="1" x14ac:dyDescent="0.2">
      <c r="G790" s="77"/>
      <c r="H790" s="83"/>
    </row>
    <row r="791" spans="7:8" hidden="1" x14ac:dyDescent="0.2">
      <c r="G791" s="77"/>
      <c r="H791" s="83"/>
    </row>
    <row r="792" spans="7:8" hidden="1" x14ac:dyDescent="0.2">
      <c r="G792" s="77"/>
      <c r="H792" s="83"/>
    </row>
    <row r="793" spans="7:8" hidden="1" x14ac:dyDescent="0.2">
      <c r="G793" s="77"/>
      <c r="H793" s="83"/>
    </row>
    <row r="794" spans="7:8" hidden="1" x14ac:dyDescent="0.2">
      <c r="G794" s="77"/>
      <c r="H794" s="83"/>
    </row>
    <row r="795" spans="7:8" hidden="1" x14ac:dyDescent="0.2">
      <c r="G795" s="77"/>
      <c r="H795" s="83"/>
    </row>
    <row r="796" spans="7:8" hidden="1" x14ac:dyDescent="0.2">
      <c r="G796" s="77"/>
      <c r="H796" s="83"/>
    </row>
    <row r="797" spans="7:8" hidden="1" x14ac:dyDescent="0.2">
      <c r="G797" s="77"/>
      <c r="H797" s="83"/>
    </row>
    <row r="798" spans="7:8" hidden="1" x14ac:dyDescent="0.2">
      <c r="G798" s="77"/>
      <c r="H798" s="83"/>
    </row>
    <row r="799" spans="7:8" hidden="1" x14ac:dyDescent="0.2">
      <c r="G799" s="77"/>
      <c r="H799" s="83"/>
    </row>
    <row r="800" spans="7:8" hidden="1" x14ac:dyDescent="0.2">
      <c r="G800" s="77"/>
      <c r="H800" s="83"/>
    </row>
    <row r="801" spans="7:8" hidden="1" x14ac:dyDescent="0.2">
      <c r="G801" s="77"/>
      <c r="H801" s="83"/>
    </row>
    <row r="802" spans="7:8" hidden="1" x14ac:dyDescent="0.2">
      <c r="G802" s="77"/>
      <c r="H802" s="83"/>
    </row>
    <row r="803" spans="7:8" hidden="1" x14ac:dyDescent="0.2">
      <c r="G803" s="77"/>
      <c r="H803" s="83"/>
    </row>
    <row r="804" spans="7:8" hidden="1" x14ac:dyDescent="0.2">
      <c r="G804" s="77"/>
      <c r="H804" s="83"/>
    </row>
    <row r="805" spans="7:8" hidden="1" x14ac:dyDescent="0.2">
      <c r="G805" s="77"/>
      <c r="H805" s="83"/>
    </row>
    <row r="806" spans="7:8" hidden="1" x14ac:dyDescent="0.2">
      <c r="G806" s="77"/>
      <c r="H806" s="83"/>
    </row>
    <row r="807" spans="7:8" hidden="1" x14ac:dyDescent="0.2">
      <c r="G807" s="77"/>
      <c r="H807" s="83"/>
    </row>
    <row r="808" spans="7:8" hidden="1" x14ac:dyDescent="0.2">
      <c r="G808" s="77"/>
      <c r="H808" s="83"/>
    </row>
    <row r="809" spans="7:8" hidden="1" x14ac:dyDescent="0.2">
      <c r="G809" s="77"/>
      <c r="H809" s="83"/>
    </row>
    <row r="810" spans="7:8" hidden="1" x14ac:dyDescent="0.2">
      <c r="G810" s="77"/>
      <c r="H810" s="83"/>
    </row>
    <row r="811" spans="7:8" hidden="1" x14ac:dyDescent="0.2">
      <c r="G811" s="77"/>
      <c r="H811" s="83"/>
    </row>
    <row r="812" spans="7:8" hidden="1" x14ac:dyDescent="0.2">
      <c r="G812" s="77"/>
      <c r="H812" s="83"/>
    </row>
    <row r="813" spans="7:8" hidden="1" x14ac:dyDescent="0.2">
      <c r="G813" s="77"/>
      <c r="H813" s="83"/>
    </row>
    <row r="814" spans="7:8" hidden="1" x14ac:dyDescent="0.2">
      <c r="G814" s="77"/>
      <c r="H814" s="83"/>
    </row>
    <row r="815" spans="7:8" hidden="1" x14ac:dyDescent="0.2">
      <c r="G815" s="77"/>
      <c r="H815" s="83"/>
    </row>
    <row r="816" spans="7:8" hidden="1" x14ac:dyDescent="0.2">
      <c r="G816" s="77"/>
      <c r="H816" s="83"/>
    </row>
    <row r="817" spans="7:8" hidden="1" x14ac:dyDescent="0.2">
      <c r="G817" s="77"/>
      <c r="H817" s="83"/>
    </row>
    <row r="818" spans="7:8" hidden="1" x14ac:dyDescent="0.2">
      <c r="G818" s="77"/>
      <c r="H818" s="83"/>
    </row>
    <row r="819" spans="7:8" hidden="1" x14ac:dyDescent="0.2">
      <c r="G819" s="77"/>
      <c r="H819" s="83"/>
    </row>
    <row r="820" spans="7:8" hidden="1" x14ac:dyDescent="0.2">
      <c r="G820" s="77"/>
      <c r="H820" s="83"/>
    </row>
    <row r="821" spans="7:8" hidden="1" x14ac:dyDescent="0.2">
      <c r="G821" s="77"/>
      <c r="H821" s="83"/>
    </row>
    <row r="822" spans="7:8" hidden="1" x14ac:dyDescent="0.2">
      <c r="G822" s="77"/>
      <c r="H822" s="83"/>
    </row>
    <row r="823" spans="7:8" hidden="1" x14ac:dyDescent="0.2">
      <c r="G823" s="77"/>
      <c r="H823" s="83"/>
    </row>
    <row r="824" spans="7:8" hidden="1" x14ac:dyDescent="0.2">
      <c r="G824" s="77"/>
      <c r="H824" s="83"/>
    </row>
    <row r="825" spans="7:8" hidden="1" x14ac:dyDescent="0.2">
      <c r="G825" s="77"/>
      <c r="H825" s="83"/>
    </row>
    <row r="826" spans="7:8" hidden="1" x14ac:dyDescent="0.2">
      <c r="G826" s="77"/>
      <c r="H826" s="83"/>
    </row>
    <row r="827" spans="7:8" hidden="1" x14ac:dyDescent="0.2">
      <c r="G827" s="77"/>
      <c r="H827" s="83"/>
    </row>
    <row r="828" spans="7:8" hidden="1" x14ac:dyDescent="0.2">
      <c r="G828" s="77"/>
      <c r="H828" s="83"/>
    </row>
    <row r="829" spans="7:8" hidden="1" x14ac:dyDescent="0.2">
      <c r="G829" s="77"/>
      <c r="H829" s="83"/>
    </row>
    <row r="830" spans="7:8" hidden="1" x14ac:dyDescent="0.2">
      <c r="G830" s="77"/>
      <c r="H830" s="83"/>
    </row>
    <row r="831" spans="7:8" hidden="1" x14ac:dyDescent="0.2">
      <c r="G831" s="77"/>
      <c r="H831" s="83"/>
    </row>
    <row r="832" spans="7:8" hidden="1" x14ac:dyDescent="0.2">
      <c r="G832" s="77"/>
      <c r="H832" s="83"/>
    </row>
    <row r="833" spans="7:8" hidden="1" x14ac:dyDescent="0.2">
      <c r="G833" s="77"/>
      <c r="H833" s="83"/>
    </row>
    <row r="834" spans="7:8" hidden="1" x14ac:dyDescent="0.2">
      <c r="G834" s="77"/>
      <c r="H834" s="83"/>
    </row>
    <row r="835" spans="7:8" hidden="1" x14ac:dyDescent="0.2">
      <c r="G835" s="77"/>
      <c r="H835" s="83"/>
    </row>
    <row r="836" spans="7:8" hidden="1" x14ac:dyDescent="0.2">
      <c r="G836" s="77"/>
      <c r="H836" s="83"/>
    </row>
    <row r="837" spans="7:8" hidden="1" x14ac:dyDescent="0.2">
      <c r="G837" s="77"/>
      <c r="H837" s="83"/>
    </row>
    <row r="838" spans="7:8" hidden="1" x14ac:dyDescent="0.2">
      <c r="G838" s="77"/>
      <c r="H838" s="83"/>
    </row>
    <row r="839" spans="7:8" hidden="1" x14ac:dyDescent="0.2">
      <c r="G839" s="77"/>
      <c r="H839" s="83"/>
    </row>
    <row r="840" spans="7:8" hidden="1" x14ac:dyDescent="0.2">
      <c r="G840" s="77"/>
      <c r="H840" s="83"/>
    </row>
    <row r="841" spans="7:8" hidden="1" x14ac:dyDescent="0.2">
      <c r="G841" s="77"/>
      <c r="H841" s="83"/>
    </row>
    <row r="842" spans="7:8" hidden="1" x14ac:dyDescent="0.2">
      <c r="G842" s="77"/>
      <c r="H842" s="83"/>
    </row>
    <row r="843" spans="7:8" hidden="1" x14ac:dyDescent="0.2">
      <c r="G843" s="77"/>
      <c r="H843" s="83"/>
    </row>
    <row r="844" spans="7:8" hidden="1" x14ac:dyDescent="0.2">
      <c r="G844" s="77"/>
      <c r="H844" s="83"/>
    </row>
    <row r="845" spans="7:8" hidden="1" x14ac:dyDescent="0.2">
      <c r="G845" s="77"/>
      <c r="H845" s="83"/>
    </row>
    <row r="846" spans="7:8" hidden="1" x14ac:dyDescent="0.2">
      <c r="G846" s="77"/>
      <c r="H846" s="83"/>
    </row>
    <row r="847" spans="7:8" hidden="1" x14ac:dyDescent="0.2">
      <c r="G847" s="77"/>
      <c r="H847" s="83"/>
    </row>
    <row r="848" spans="7:8" hidden="1" x14ac:dyDescent="0.2">
      <c r="G848" s="77"/>
      <c r="H848" s="83"/>
    </row>
    <row r="849" spans="7:8" hidden="1" x14ac:dyDescent="0.2">
      <c r="G849" s="77"/>
      <c r="H849" s="83"/>
    </row>
    <row r="850" spans="7:8" hidden="1" x14ac:dyDescent="0.2">
      <c r="G850" s="77"/>
      <c r="H850" s="83"/>
    </row>
    <row r="851" spans="7:8" hidden="1" x14ac:dyDescent="0.2">
      <c r="G851" s="77"/>
      <c r="H851" s="83"/>
    </row>
    <row r="852" spans="7:8" hidden="1" x14ac:dyDescent="0.2">
      <c r="G852" s="77"/>
      <c r="H852" s="83"/>
    </row>
    <row r="853" spans="7:8" hidden="1" x14ac:dyDescent="0.2">
      <c r="G853" s="77"/>
      <c r="H853" s="83"/>
    </row>
    <row r="854" spans="7:8" hidden="1" x14ac:dyDescent="0.2">
      <c r="G854" s="77"/>
      <c r="H854" s="83"/>
    </row>
    <row r="855" spans="7:8" hidden="1" x14ac:dyDescent="0.2">
      <c r="G855" s="77"/>
      <c r="H855" s="83"/>
    </row>
    <row r="856" spans="7:8" hidden="1" x14ac:dyDescent="0.2">
      <c r="G856" s="77"/>
      <c r="H856" s="83"/>
    </row>
    <row r="857" spans="7:8" hidden="1" x14ac:dyDescent="0.2">
      <c r="G857" s="77"/>
      <c r="H857" s="83"/>
    </row>
    <row r="858" spans="7:8" hidden="1" x14ac:dyDescent="0.2">
      <c r="G858" s="77"/>
      <c r="H858" s="83"/>
    </row>
    <row r="859" spans="7:8" hidden="1" x14ac:dyDescent="0.2">
      <c r="G859" s="77"/>
      <c r="H859" s="83"/>
    </row>
    <row r="860" spans="7:8" hidden="1" x14ac:dyDescent="0.2">
      <c r="G860" s="77"/>
      <c r="H860" s="83"/>
    </row>
    <row r="861" spans="7:8" hidden="1" x14ac:dyDescent="0.2">
      <c r="G861" s="77"/>
      <c r="H861" s="83"/>
    </row>
    <row r="862" spans="7:8" hidden="1" x14ac:dyDescent="0.2">
      <c r="G862" s="77"/>
      <c r="H862" s="83"/>
    </row>
    <row r="863" spans="7:8" hidden="1" x14ac:dyDescent="0.2">
      <c r="G863" s="77"/>
      <c r="H863" s="83"/>
    </row>
    <row r="864" spans="7:8" hidden="1" x14ac:dyDescent="0.2">
      <c r="G864" s="77"/>
      <c r="H864" s="83"/>
    </row>
    <row r="865" spans="7:8" hidden="1" x14ac:dyDescent="0.2">
      <c r="G865" s="77"/>
      <c r="H865" s="83"/>
    </row>
    <row r="866" spans="7:8" hidden="1" x14ac:dyDescent="0.2">
      <c r="G866" s="77"/>
      <c r="H866" s="83"/>
    </row>
    <row r="867" spans="7:8" hidden="1" x14ac:dyDescent="0.2">
      <c r="G867" s="77"/>
      <c r="H867" s="83"/>
    </row>
    <row r="868" spans="7:8" hidden="1" x14ac:dyDescent="0.2">
      <c r="G868" s="77"/>
      <c r="H868" s="83"/>
    </row>
    <row r="869" spans="7:8" hidden="1" x14ac:dyDescent="0.2">
      <c r="G869" s="77"/>
      <c r="H869" s="83"/>
    </row>
    <row r="870" spans="7:8" hidden="1" x14ac:dyDescent="0.2">
      <c r="G870" s="77"/>
      <c r="H870" s="83"/>
    </row>
    <row r="871" spans="7:8" hidden="1" x14ac:dyDescent="0.2">
      <c r="G871" s="77"/>
      <c r="H871" s="83"/>
    </row>
    <row r="872" spans="7:8" hidden="1" x14ac:dyDescent="0.2">
      <c r="G872" s="77"/>
      <c r="H872" s="83"/>
    </row>
    <row r="873" spans="7:8" hidden="1" x14ac:dyDescent="0.2">
      <c r="G873" s="77"/>
      <c r="H873" s="83"/>
    </row>
    <row r="874" spans="7:8" hidden="1" x14ac:dyDescent="0.2">
      <c r="G874" s="77"/>
      <c r="H874" s="83"/>
    </row>
    <row r="875" spans="7:8" hidden="1" x14ac:dyDescent="0.2">
      <c r="G875" s="77"/>
      <c r="H875" s="83"/>
    </row>
    <row r="876" spans="7:8" hidden="1" x14ac:dyDescent="0.2">
      <c r="G876" s="77"/>
      <c r="H876" s="83"/>
    </row>
    <row r="877" spans="7:8" hidden="1" x14ac:dyDescent="0.2">
      <c r="G877" s="77"/>
      <c r="H877" s="83"/>
    </row>
    <row r="878" spans="7:8" hidden="1" x14ac:dyDescent="0.2">
      <c r="G878" s="77"/>
      <c r="H878" s="83"/>
    </row>
    <row r="879" spans="7:8" hidden="1" x14ac:dyDescent="0.2">
      <c r="G879" s="77"/>
      <c r="H879" s="83"/>
    </row>
    <row r="880" spans="7:8" hidden="1" x14ac:dyDescent="0.2">
      <c r="G880" s="77"/>
      <c r="H880" s="83"/>
    </row>
    <row r="881" spans="7:8" hidden="1" x14ac:dyDescent="0.2">
      <c r="G881" s="77"/>
      <c r="H881" s="83"/>
    </row>
    <row r="882" spans="7:8" hidden="1" x14ac:dyDescent="0.2">
      <c r="G882" s="77"/>
      <c r="H882" s="83"/>
    </row>
    <row r="883" spans="7:8" hidden="1" x14ac:dyDescent="0.2">
      <c r="G883" s="77"/>
      <c r="H883" s="83"/>
    </row>
    <row r="884" spans="7:8" hidden="1" x14ac:dyDescent="0.2">
      <c r="G884" s="77"/>
      <c r="H884" s="83"/>
    </row>
    <row r="885" spans="7:8" hidden="1" x14ac:dyDescent="0.2">
      <c r="G885" s="77"/>
      <c r="H885" s="83"/>
    </row>
    <row r="886" spans="7:8" hidden="1" x14ac:dyDescent="0.2">
      <c r="G886" s="77"/>
      <c r="H886" s="83"/>
    </row>
    <row r="887" spans="7:8" hidden="1" x14ac:dyDescent="0.2">
      <c r="G887" s="77"/>
      <c r="H887" s="83"/>
    </row>
    <row r="888" spans="7:8" hidden="1" x14ac:dyDescent="0.2">
      <c r="G888" s="77"/>
      <c r="H888" s="83"/>
    </row>
    <row r="889" spans="7:8" hidden="1" x14ac:dyDescent="0.2">
      <c r="G889" s="77"/>
      <c r="H889" s="83"/>
    </row>
    <row r="890" spans="7:8" hidden="1" x14ac:dyDescent="0.2">
      <c r="G890" s="77"/>
      <c r="H890" s="83"/>
    </row>
    <row r="891" spans="7:8" hidden="1" x14ac:dyDescent="0.2">
      <c r="G891" s="77"/>
      <c r="H891" s="83"/>
    </row>
    <row r="892" spans="7:8" hidden="1" x14ac:dyDescent="0.2">
      <c r="G892" s="77"/>
      <c r="H892" s="83"/>
    </row>
    <row r="893" spans="7:8" hidden="1" x14ac:dyDescent="0.2">
      <c r="G893" s="77"/>
      <c r="H893" s="83"/>
    </row>
    <row r="894" spans="7:8" hidden="1" x14ac:dyDescent="0.2">
      <c r="G894" s="77"/>
      <c r="H894" s="83"/>
    </row>
    <row r="895" spans="7:8" hidden="1" x14ac:dyDescent="0.2">
      <c r="G895" s="77"/>
      <c r="H895" s="83"/>
    </row>
    <row r="896" spans="7:8" hidden="1" x14ac:dyDescent="0.2">
      <c r="G896" s="77"/>
      <c r="H896" s="83"/>
    </row>
    <row r="897" spans="7:8" hidden="1" x14ac:dyDescent="0.2">
      <c r="G897" s="77"/>
      <c r="H897" s="83"/>
    </row>
    <row r="898" spans="7:8" hidden="1" x14ac:dyDescent="0.2">
      <c r="G898" s="77"/>
      <c r="H898" s="83"/>
    </row>
    <row r="899" spans="7:8" hidden="1" x14ac:dyDescent="0.2">
      <c r="G899" s="77"/>
      <c r="H899" s="83"/>
    </row>
    <row r="900" spans="7:8" hidden="1" x14ac:dyDescent="0.2">
      <c r="G900" s="77"/>
      <c r="H900" s="83"/>
    </row>
    <row r="901" spans="7:8" hidden="1" x14ac:dyDescent="0.2">
      <c r="G901" s="77"/>
      <c r="H901" s="83"/>
    </row>
    <row r="902" spans="7:8" hidden="1" x14ac:dyDescent="0.2">
      <c r="G902" s="77"/>
      <c r="H902" s="83"/>
    </row>
    <row r="903" spans="7:8" hidden="1" x14ac:dyDescent="0.2">
      <c r="G903" s="77"/>
      <c r="H903" s="83"/>
    </row>
    <row r="904" spans="7:8" hidden="1" x14ac:dyDescent="0.2">
      <c r="G904" s="77"/>
      <c r="H904" s="83"/>
    </row>
    <row r="905" spans="7:8" hidden="1" x14ac:dyDescent="0.2">
      <c r="G905" s="77"/>
      <c r="H905" s="83"/>
    </row>
    <row r="906" spans="7:8" hidden="1" x14ac:dyDescent="0.2">
      <c r="G906" s="77"/>
      <c r="H906" s="83"/>
    </row>
    <row r="907" spans="7:8" hidden="1" x14ac:dyDescent="0.2">
      <c r="G907" s="77"/>
      <c r="H907" s="83"/>
    </row>
    <row r="908" spans="7:8" hidden="1" x14ac:dyDescent="0.2">
      <c r="G908" s="77"/>
      <c r="H908" s="83"/>
    </row>
    <row r="909" spans="7:8" hidden="1" x14ac:dyDescent="0.2">
      <c r="G909" s="77"/>
      <c r="H909" s="83"/>
    </row>
    <row r="910" spans="7:8" hidden="1" x14ac:dyDescent="0.2">
      <c r="G910" s="77"/>
      <c r="H910" s="83"/>
    </row>
    <row r="911" spans="7:8" hidden="1" x14ac:dyDescent="0.2">
      <c r="G911" s="77"/>
      <c r="H911" s="83"/>
    </row>
    <row r="912" spans="7:8" hidden="1" x14ac:dyDescent="0.2">
      <c r="G912" s="77"/>
      <c r="H912" s="83"/>
    </row>
    <row r="913" spans="7:8" hidden="1" x14ac:dyDescent="0.2">
      <c r="G913" s="77"/>
      <c r="H913" s="83"/>
    </row>
    <row r="914" spans="7:8" hidden="1" x14ac:dyDescent="0.2">
      <c r="G914" s="77"/>
      <c r="H914" s="83"/>
    </row>
    <row r="915" spans="7:8" hidden="1" x14ac:dyDescent="0.2">
      <c r="G915" s="77"/>
      <c r="H915" s="83"/>
    </row>
    <row r="916" spans="7:8" hidden="1" x14ac:dyDescent="0.2">
      <c r="G916" s="77"/>
      <c r="H916" s="83"/>
    </row>
    <row r="917" spans="7:8" hidden="1" x14ac:dyDescent="0.2">
      <c r="G917" s="77"/>
      <c r="H917" s="83"/>
    </row>
    <row r="918" spans="7:8" hidden="1" x14ac:dyDescent="0.2">
      <c r="G918" s="77"/>
      <c r="H918" s="83"/>
    </row>
    <row r="919" spans="7:8" hidden="1" x14ac:dyDescent="0.2">
      <c r="G919" s="77"/>
      <c r="H919" s="83"/>
    </row>
    <row r="920" spans="7:8" hidden="1" x14ac:dyDescent="0.2">
      <c r="G920" s="77"/>
      <c r="H920" s="83"/>
    </row>
    <row r="921" spans="7:8" hidden="1" x14ac:dyDescent="0.2">
      <c r="G921" s="77"/>
      <c r="H921" s="83"/>
    </row>
    <row r="922" spans="7:8" hidden="1" x14ac:dyDescent="0.2">
      <c r="G922" s="77"/>
      <c r="H922" s="83"/>
    </row>
    <row r="923" spans="7:8" hidden="1" x14ac:dyDescent="0.2">
      <c r="G923" s="77"/>
      <c r="H923" s="83"/>
    </row>
    <row r="924" spans="7:8" hidden="1" x14ac:dyDescent="0.2">
      <c r="G924" s="77"/>
      <c r="H924" s="83"/>
    </row>
    <row r="925" spans="7:8" hidden="1" x14ac:dyDescent="0.2">
      <c r="G925" s="77"/>
      <c r="H925" s="83"/>
    </row>
    <row r="926" spans="7:8" hidden="1" x14ac:dyDescent="0.2">
      <c r="G926" s="77"/>
      <c r="H926" s="83"/>
    </row>
    <row r="927" spans="7:8" hidden="1" x14ac:dyDescent="0.2">
      <c r="G927" s="77"/>
      <c r="H927" s="83"/>
    </row>
    <row r="928" spans="7:8" hidden="1" x14ac:dyDescent="0.2">
      <c r="G928" s="77"/>
      <c r="H928" s="83"/>
    </row>
    <row r="929" spans="7:8" hidden="1" x14ac:dyDescent="0.2">
      <c r="G929" s="77"/>
      <c r="H929" s="83"/>
    </row>
    <row r="930" spans="7:8" hidden="1" x14ac:dyDescent="0.2">
      <c r="G930" s="77"/>
      <c r="H930" s="83"/>
    </row>
    <row r="931" spans="7:8" hidden="1" x14ac:dyDescent="0.2">
      <c r="G931" s="77"/>
      <c r="H931" s="83"/>
    </row>
    <row r="932" spans="7:8" hidden="1" x14ac:dyDescent="0.2">
      <c r="G932" s="77"/>
      <c r="H932" s="83"/>
    </row>
    <row r="933" spans="7:8" hidden="1" x14ac:dyDescent="0.2">
      <c r="G933" s="77"/>
      <c r="H933" s="83"/>
    </row>
    <row r="934" spans="7:8" hidden="1" x14ac:dyDescent="0.2">
      <c r="G934" s="77"/>
      <c r="H934" s="83"/>
    </row>
    <row r="935" spans="7:8" hidden="1" x14ac:dyDescent="0.2">
      <c r="G935" s="77"/>
      <c r="H935" s="83"/>
    </row>
    <row r="936" spans="7:8" hidden="1" x14ac:dyDescent="0.2">
      <c r="G936" s="77"/>
      <c r="H936" s="83"/>
    </row>
    <row r="937" spans="7:8" hidden="1" x14ac:dyDescent="0.2">
      <c r="G937" s="77"/>
      <c r="H937" s="83"/>
    </row>
    <row r="938" spans="7:8" hidden="1" x14ac:dyDescent="0.2">
      <c r="G938" s="77"/>
      <c r="H938" s="83"/>
    </row>
    <row r="939" spans="7:8" hidden="1" x14ac:dyDescent="0.2">
      <c r="G939" s="77"/>
      <c r="H939" s="83"/>
    </row>
    <row r="940" spans="7:8" hidden="1" x14ac:dyDescent="0.2">
      <c r="G940" s="77"/>
      <c r="H940" s="83"/>
    </row>
    <row r="941" spans="7:8" hidden="1" x14ac:dyDescent="0.2">
      <c r="G941" s="77"/>
      <c r="H941" s="83"/>
    </row>
    <row r="942" spans="7:8" hidden="1" x14ac:dyDescent="0.2">
      <c r="G942" s="77"/>
      <c r="H942" s="83"/>
    </row>
    <row r="943" spans="7:8" hidden="1" x14ac:dyDescent="0.2">
      <c r="G943" s="77"/>
      <c r="H943" s="83"/>
    </row>
    <row r="944" spans="7:8" hidden="1" x14ac:dyDescent="0.2">
      <c r="G944" s="77"/>
      <c r="H944" s="83"/>
    </row>
    <row r="945" spans="7:8" hidden="1" x14ac:dyDescent="0.2">
      <c r="G945" s="77"/>
      <c r="H945" s="83"/>
    </row>
    <row r="946" spans="7:8" hidden="1" x14ac:dyDescent="0.2">
      <c r="G946" s="77"/>
      <c r="H946" s="83"/>
    </row>
    <row r="947" spans="7:8" hidden="1" x14ac:dyDescent="0.2">
      <c r="G947" s="77"/>
      <c r="H947" s="83"/>
    </row>
    <row r="948" spans="7:8" hidden="1" x14ac:dyDescent="0.2">
      <c r="G948" s="77"/>
      <c r="H948" s="83"/>
    </row>
    <row r="949" spans="7:8" hidden="1" x14ac:dyDescent="0.2">
      <c r="G949" s="77"/>
      <c r="H949" s="83"/>
    </row>
    <row r="950" spans="7:8" hidden="1" x14ac:dyDescent="0.2">
      <c r="G950" s="77"/>
      <c r="H950" s="83"/>
    </row>
    <row r="951" spans="7:8" hidden="1" x14ac:dyDescent="0.2">
      <c r="G951" s="77"/>
      <c r="H951" s="83"/>
    </row>
    <row r="952" spans="7:8" hidden="1" x14ac:dyDescent="0.2">
      <c r="G952" s="77"/>
      <c r="H952" s="83"/>
    </row>
    <row r="953" spans="7:8" hidden="1" x14ac:dyDescent="0.2">
      <c r="G953" s="77"/>
      <c r="H953" s="83"/>
    </row>
    <row r="954" spans="7:8" hidden="1" x14ac:dyDescent="0.2">
      <c r="G954" s="77"/>
      <c r="H954" s="83"/>
    </row>
    <row r="955" spans="7:8" hidden="1" x14ac:dyDescent="0.2">
      <c r="G955" s="77"/>
      <c r="H955" s="83"/>
    </row>
    <row r="956" spans="7:8" hidden="1" x14ac:dyDescent="0.2">
      <c r="G956" s="77"/>
      <c r="H956" s="83"/>
    </row>
    <row r="957" spans="7:8" hidden="1" x14ac:dyDescent="0.2">
      <c r="G957" s="77"/>
      <c r="H957" s="83"/>
    </row>
    <row r="958" spans="7:8" hidden="1" x14ac:dyDescent="0.2">
      <c r="G958" s="77"/>
      <c r="H958" s="83"/>
    </row>
    <row r="959" spans="7:8" hidden="1" x14ac:dyDescent="0.2">
      <c r="G959" s="77"/>
      <c r="H959" s="83"/>
    </row>
    <row r="960" spans="7:8" hidden="1" x14ac:dyDescent="0.2">
      <c r="G960" s="77"/>
      <c r="H960" s="83"/>
    </row>
    <row r="961" spans="7:8" hidden="1" x14ac:dyDescent="0.2">
      <c r="G961" s="77"/>
      <c r="H961" s="83"/>
    </row>
    <row r="962" spans="7:8" hidden="1" x14ac:dyDescent="0.2">
      <c r="G962" s="77"/>
      <c r="H962" s="83"/>
    </row>
    <row r="963" spans="7:8" hidden="1" x14ac:dyDescent="0.2">
      <c r="G963" s="77"/>
      <c r="H963" s="83"/>
    </row>
    <row r="964" spans="7:8" hidden="1" x14ac:dyDescent="0.2">
      <c r="G964" s="77"/>
      <c r="H964" s="83"/>
    </row>
    <row r="965" spans="7:8" hidden="1" x14ac:dyDescent="0.2">
      <c r="G965" s="77"/>
      <c r="H965" s="83"/>
    </row>
    <row r="966" spans="7:8" hidden="1" x14ac:dyDescent="0.2">
      <c r="G966" s="77"/>
      <c r="H966" s="83"/>
    </row>
    <row r="967" spans="7:8" hidden="1" x14ac:dyDescent="0.2">
      <c r="G967" s="77"/>
      <c r="H967" s="83"/>
    </row>
    <row r="968" spans="7:8" hidden="1" x14ac:dyDescent="0.2">
      <c r="G968" s="77"/>
      <c r="H968" s="83"/>
    </row>
    <row r="969" spans="7:8" hidden="1" x14ac:dyDescent="0.2">
      <c r="G969" s="77"/>
      <c r="H969" s="83"/>
    </row>
    <row r="970" spans="7:8" hidden="1" x14ac:dyDescent="0.2">
      <c r="G970" s="77"/>
      <c r="H970" s="83"/>
    </row>
    <row r="971" spans="7:8" hidden="1" x14ac:dyDescent="0.2">
      <c r="G971" s="77"/>
      <c r="H971" s="83"/>
    </row>
    <row r="972" spans="7:8" hidden="1" x14ac:dyDescent="0.2">
      <c r="G972" s="77"/>
      <c r="H972" s="83"/>
    </row>
    <row r="973" spans="7:8" hidden="1" x14ac:dyDescent="0.2">
      <c r="G973" s="77"/>
      <c r="H973" s="83"/>
    </row>
    <row r="974" spans="7:8" hidden="1" x14ac:dyDescent="0.2">
      <c r="G974" s="77"/>
      <c r="H974" s="83"/>
    </row>
    <row r="975" spans="7:8" hidden="1" x14ac:dyDescent="0.2">
      <c r="G975" s="77"/>
      <c r="H975" s="83"/>
    </row>
    <row r="976" spans="7:8" hidden="1" x14ac:dyDescent="0.2">
      <c r="G976" s="77"/>
      <c r="H976" s="83"/>
    </row>
    <row r="977" spans="7:8" hidden="1" x14ac:dyDescent="0.2">
      <c r="G977" s="77"/>
      <c r="H977" s="83"/>
    </row>
    <row r="978" spans="7:8" hidden="1" x14ac:dyDescent="0.2">
      <c r="G978" s="77"/>
      <c r="H978" s="83"/>
    </row>
    <row r="979" spans="7:8" hidden="1" x14ac:dyDescent="0.2">
      <c r="G979" s="77"/>
      <c r="H979" s="83"/>
    </row>
    <row r="980" spans="7:8" hidden="1" x14ac:dyDescent="0.2">
      <c r="G980" s="77"/>
      <c r="H980" s="83"/>
    </row>
    <row r="981" spans="7:8" hidden="1" x14ac:dyDescent="0.2">
      <c r="G981" s="77"/>
      <c r="H981" s="83"/>
    </row>
    <row r="982" spans="7:8" hidden="1" x14ac:dyDescent="0.2">
      <c r="G982" s="77"/>
      <c r="H982" s="83"/>
    </row>
    <row r="983" spans="7:8" hidden="1" x14ac:dyDescent="0.2">
      <c r="G983" s="77"/>
      <c r="H983" s="83"/>
    </row>
    <row r="984" spans="7:8" hidden="1" x14ac:dyDescent="0.2">
      <c r="G984" s="77"/>
      <c r="H984" s="83"/>
    </row>
    <row r="985" spans="7:8" hidden="1" x14ac:dyDescent="0.2">
      <c r="G985" s="77"/>
      <c r="H985" s="83"/>
    </row>
    <row r="986" spans="7:8" hidden="1" x14ac:dyDescent="0.2">
      <c r="G986" s="77"/>
      <c r="H986" s="83"/>
    </row>
    <row r="987" spans="7:8" hidden="1" x14ac:dyDescent="0.2">
      <c r="G987" s="77"/>
      <c r="H987" s="83"/>
    </row>
    <row r="988" spans="7:8" hidden="1" x14ac:dyDescent="0.2">
      <c r="G988" s="77"/>
      <c r="H988" s="83"/>
    </row>
    <row r="989" spans="7:8" hidden="1" x14ac:dyDescent="0.2">
      <c r="G989" s="77"/>
      <c r="H989" s="83"/>
    </row>
    <row r="990" spans="7:8" hidden="1" x14ac:dyDescent="0.2">
      <c r="G990" s="77"/>
      <c r="H990" s="83"/>
    </row>
    <row r="991" spans="7:8" hidden="1" x14ac:dyDescent="0.2">
      <c r="G991" s="77"/>
      <c r="H991" s="83"/>
    </row>
    <row r="992" spans="7:8" hidden="1" x14ac:dyDescent="0.2">
      <c r="G992" s="77"/>
      <c r="H992" s="83"/>
    </row>
    <row r="993" spans="7:8" hidden="1" x14ac:dyDescent="0.2">
      <c r="G993" s="77"/>
      <c r="H993" s="83"/>
    </row>
    <row r="994" spans="7:8" hidden="1" x14ac:dyDescent="0.2">
      <c r="G994" s="77"/>
      <c r="H994" s="83"/>
    </row>
    <row r="995" spans="7:8" hidden="1" x14ac:dyDescent="0.2">
      <c r="G995" s="77"/>
      <c r="H995" s="83"/>
    </row>
    <row r="996" spans="7:8" hidden="1" x14ac:dyDescent="0.2">
      <c r="G996" s="77"/>
      <c r="H996" s="83"/>
    </row>
    <row r="997" spans="7:8" hidden="1" x14ac:dyDescent="0.2">
      <c r="G997" s="77"/>
      <c r="H997" s="83"/>
    </row>
    <row r="998" spans="7:8" hidden="1" x14ac:dyDescent="0.2">
      <c r="G998" s="77"/>
      <c r="H998" s="83"/>
    </row>
    <row r="999" spans="7:8" hidden="1" x14ac:dyDescent="0.2">
      <c r="G999" s="77"/>
      <c r="H999" s="83"/>
    </row>
    <row r="1000" spans="7:8" hidden="1" x14ac:dyDescent="0.2">
      <c r="G1000" s="77"/>
      <c r="H1000" s="83"/>
    </row>
    <row r="1001" spans="7:8" hidden="1" x14ac:dyDescent="0.2">
      <c r="G1001" s="77"/>
      <c r="H1001" s="83"/>
    </row>
    <row r="1002" spans="7:8" hidden="1" x14ac:dyDescent="0.2">
      <c r="G1002" s="77"/>
      <c r="H1002" s="83"/>
    </row>
    <row r="1003" spans="7:8" hidden="1" x14ac:dyDescent="0.2">
      <c r="G1003" s="77"/>
      <c r="H1003" s="83"/>
    </row>
    <row r="1004" spans="7:8" hidden="1" x14ac:dyDescent="0.2">
      <c r="G1004" s="77"/>
      <c r="H1004" s="83"/>
    </row>
    <row r="1005" spans="7:8" hidden="1" x14ac:dyDescent="0.2">
      <c r="G1005" s="77"/>
      <c r="H1005" s="83"/>
    </row>
    <row r="1006" spans="7:8" hidden="1" x14ac:dyDescent="0.2">
      <c r="G1006" s="77"/>
      <c r="H1006" s="83"/>
    </row>
    <row r="1007" spans="7:8" hidden="1" x14ac:dyDescent="0.2">
      <c r="G1007" s="77"/>
      <c r="H1007" s="83"/>
    </row>
    <row r="1008" spans="7:8" hidden="1" x14ac:dyDescent="0.2">
      <c r="G1008" s="77"/>
      <c r="H1008" s="83"/>
    </row>
    <row r="1009" spans="7:8" hidden="1" x14ac:dyDescent="0.2">
      <c r="G1009" s="77"/>
      <c r="H1009" s="83"/>
    </row>
    <row r="1010" spans="7:8" hidden="1" x14ac:dyDescent="0.2">
      <c r="G1010" s="77"/>
      <c r="H1010" s="83"/>
    </row>
    <row r="1011" spans="7:8" hidden="1" x14ac:dyDescent="0.2">
      <c r="G1011" s="77"/>
      <c r="H1011" s="83"/>
    </row>
    <row r="1012" spans="7:8" hidden="1" x14ac:dyDescent="0.2">
      <c r="G1012" s="77"/>
      <c r="H1012" s="83"/>
    </row>
    <row r="1013" spans="7:8" hidden="1" x14ac:dyDescent="0.2">
      <c r="G1013" s="77"/>
      <c r="H1013" s="83"/>
    </row>
    <row r="1014" spans="7:8" hidden="1" x14ac:dyDescent="0.2">
      <c r="G1014" s="77"/>
      <c r="H1014" s="83"/>
    </row>
    <row r="1015" spans="7:8" hidden="1" x14ac:dyDescent="0.2">
      <c r="G1015" s="77"/>
      <c r="H1015" s="83"/>
    </row>
    <row r="1016" spans="7:8" hidden="1" x14ac:dyDescent="0.2">
      <c r="G1016" s="77"/>
      <c r="H1016" s="83"/>
    </row>
    <row r="1017" spans="7:8" hidden="1" x14ac:dyDescent="0.2">
      <c r="G1017" s="77"/>
      <c r="H1017" s="83"/>
    </row>
    <row r="1018" spans="7:8" hidden="1" x14ac:dyDescent="0.2">
      <c r="G1018" s="77"/>
      <c r="H1018" s="83"/>
    </row>
    <row r="1019" spans="7:8" hidden="1" x14ac:dyDescent="0.2">
      <c r="G1019" s="77"/>
      <c r="H1019" s="83"/>
    </row>
    <row r="1020" spans="7:8" hidden="1" x14ac:dyDescent="0.2">
      <c r="G1020" s="77"/>
      <c r="H1020" s="83"/>
    </row>
    <row r="1021" spans="7:8" hidden="1" x14ac:dyDescent="0.2">
      <c r="G1021" s="77"/>
      <c r="H1021" s="83"/>
    </row>
    <row r="1022" spans="7:8" hidden="1" x14ac:dyDescent="0.2">
      <c r="G1022" s="77"/>
      <c r="H1022" s="83"/>
    </row>
    <row r="1023" spans="7:8" hidden="1" x14ac:dyDescent="0.2">
      <c r="G1023" s="77"/>
      <c r="H1023" s="83"/>
    </row>
    <row r="1024" spans="7:8" hidden="1" x14ac:dyDescent="0.2">
      <c r="G1024" s="77"/>
      <c r="H1024" s="83"/>
    </row>
    <row r="1025" spans="7:8" hidden="1" x14ac:dyDescent="0.2">
      <c r="G1025" s="77"/>
      <c r="H1025" s="83"/>
    </row>
    <row r="1026" spans="7:8" hidden="1" x14ac:dyDescent="0.2">
      <c r="G1026" s="77"/>
      <c r="H1026" s="83"/>
    </row>
    <row r="1027" spans="7:8" hidden="1" x14ac:dyDescent="0.2">
      <c r="G1027" s="77"/>
      <c r="H1027" s="83"/>
    </row>
    <row r="1028" spans="7:8" hidden="1" x14ac:dyDescent="0.2">
      <c r="G1028" s="77"/>
      <c r="H1028" s="83"/>
    </row>
    <row r="1029" spans="7:8" hidden="1" x14ac:dyDescent="0.2">
      <c r="G1029" s="77"/>
      <c r="H1029" s="83"/>
    </row>
    <row r="1030" spans="7:8" hidden="1" x14ac:dyDescent="0.2">
      <c r="G1030" s="77"/>
      <c r="H1030" s="83"/>
    </row>
    <row r="1031" spans="7:8" hidden="1" x14ac:dyDescent="0.2">
      <c r="G1031" s="77"/>
      <c r="H1031" s="83"/>
    </row>
    <row r="1032" spans="7:8" hidden="1" x14ac:dyDescent="0.2">
      <c r="G1032" s="77"/>
      <c r="H1032" s="83"/>
    </row>
    <row r="1033" spans="7:8" hidden="1" x14ac:dyDescent="0.2">
      <c r="G1033" s="77"/>
      <c r="H1033" s="83"/>
    </row>
    <row r="1034" spans="7:8" hidden="1" x14ac:dyDescent="0.2">
      <c r="G1034" s="77"/>
      <c r="H1034" s="83"/>
    </row>
    <row r="1035" spans="7:8" hidden="1" x14ac:dyDescent="0.2">
      <c r="G1035" s="77"/>
      <c r="H1035" s="83"/>
    </row>
    <row r="1036" spans="7:8" hidden="1" x14ac:dyDescent="0.2">
      <c r="G1036" s="77"/>
      <c r="H1036" s="83"/>
    </row>
    <row r="1037" spans="7:8" hidden="1" x14ac:dyDescent="0.2">
      <c r="G1037" s="77"/>
      <c r="H1037" s="83"/>
    </row>
    <row r="1038" spans="7:8" hidden="1" x14ac:dyDescent="0.2">
      <c r="G1038" s="77"/>
      <c r="H1038" s="83"/>
    </row>
    <row r="1039" spans="7:8" hidden="1" x14ac:dyDescent="0.2">
      <c r="G1039" s="77"/>
      <c r="H1039" s="83"/>
    </row>
    <row r="1040" spans="7:8" hidden="1" x14ac:dyDescent="0.2">
      <c r="G1040" s="77"/>
      <c r="H1040" s="83"/>
    </row>
    <row r="1041" spans="7:8" hidden="1" x14ac:dyDescent="0.2">
      <c r="G1041" s="77"/>
      <c r="H1041" s="83"/>
    </row>
    <row r="1042" spans="7:8" hidden="1" x14ac:dyDescent="0.2">
      <c r="G1042" s="77"/>
      <c r="H1042" s="83"/>
    </row>
    <row r="1043" spans="7:8" hidden="1" x14ac:dyDescent="0.2">
      <c r="G1043" s="77"/>
      <c r="H1043" s="83"/>
    </row>
    <row r="1044" spans="7:8" hidden="1" x14ac:dyDescent="0.2">
      <c r="G1044" s="77"/>
      <c r="H1044" s="83"/>
    </row>
    <row r="1045" spans="7:8" hidden="1" x14ac:dyDescent="0.2">
      <c r="G1045" s="77"/>
      <c r="H1045" s="83"/>
    </row>
    <row r="1046" spans="7:8" hidden="1" x14ac:dyDescent="0.2">
      <c r="G1046" s="77"/>
      <c r="H1046" s="83"/>
    </row>
    <row r="1047" spans="7:8" hidden="1" x14ac:dyDescent="0.2">
      <c r="G1047" s="77"/>
      <c r="H1047" s="83"/>
    </row>
    <row r="1048" spans="7:8" hidden="1" x14ac:dyDescent="0.2">
      <c r="G1048" s="77"/>
      <c r="H1048" s="83"/>
    </row>
    <row r="1049" spans="7:8" hidden="1" x14ac:dyDescent="0.2">
      <c r="G1049" s="77"/>
      <c r="H1049" s="83"/>
    </row>
    <row r="1050" spans="7:8" hidden="1" x14ac:dyDescent="0.2">
      <c r="G1050" s="77"/>
      <c r="H1050" s="83"/>
    </row>
    <row r="1051" spans="7:8" hidden="1" x14ac:dyDescent="0.2">
      <c r="G1051" s="77"/>
      <c r="H1051" s="83"/>
    </row>
    <row r="1052" spans="7:8" hidden="1" x14ac:dyDescent="0.2">
      <c r="G1052" s="77"/>
      <c r="H1052" s="83"/>
    </row>
    <row r="1053" spans="7:8" hidden="1" x14ac:dyDescent="0.2">
      <c r="G1053" s="77"/>
      <c r="H1053" s="83"/>
    </row>
    <row r="1054" spans="7:8" hidden="1" x14ac:dyDescent="0.2">
      <c r="G1054" s="77"/>
      <c r="H1054" s="83"/>
    </row>
    <row r="1055" spans="7:8" hidden="1" x14ac:dyDescent="0.2">
      <c r="G1055" s="77"/>
      <c r="H1055" s="83"/>
    </row>
    <row r="1056" spans="7:8" hidden="1" x14ac:dyDescent="0.2">
      <c r="G1056" s="77"/>
      <c r="H1056" s="83"/>
    </row>
    <row r="1057" spans="7:8" hidden="1" x14ac:dyDescent="0.2">
      <c r="G1057" s="77"/>
      <c r="H1057" s="83"/>
    </row>
    <row r="1058" spans="7:8" hidden="1" x14ac:dyDescent="0.2">
      <c r="G1058" s="77"/>
      <c r="H1058" s="83"/>
    </row>
    <row r="1059" spans="7:8" hidden="1" x14ac:dyDescent="0.2">
      <c r="G1059" s="77"/>
      <c r="H1059" s="83"/>
    </row>
    <row r="1060" spans="7:8" hidden="1" x14ac:dyDescent="0.2">
      <c r="G1060" s="77"/>
      <c r="H1060" s="83"/>
    </row>
    <row r="1061" spans="7:8" hidden="1" x14ac:dyDescent="0.2">
      <c r="G1061" s="77"/>
      <c r="H1061" s="83"/>
    </row>
    <row r="1062" spans="7:8" hidden="1" x14ac:dyDescent="0.2">
      <c r="G1062" s="77"/>
      <c r="H1062" s="83"/>
    </row>
    <row r="1063" spans="7:8" hidden="1" x14ac:dyDescent="0.2">
      <c r="G1063" s="77"/>
      <c r="H1063" s="83"/>
    </row>
    <row r="1064" spans="7:8" hidden="1" x14ac:dyDescent="0.2">
      <c r="G1064" s="77"/>
      <c r="H1064" s="83"/>
    </row>
    <row r="1065" spans="7:8" hidden="1" x14ac:dyDescent="0.2">
      <c r="G1065" s="77"/>
      <c r="H1065" s="83"/>
    </row>
    <row r="1066" spans="7:8" hidden="1" x14ac:dyDescent="0.2">
      <c r="G1066" s="77"/>
      <c r="H1066" s="83"/>
    </row>
    <row r="1067" spans="7:8" hidden="1" x14ac:dyDescent="0.2">
      <c r="G1067" s="77"/>
      <c r="H1067" s="83"/>
    </row>
    <row r="1068" spans="7:8" hidden="1" x14ac:dyDescent="0.2">
      <c r="G1068" s="77"/>
      <c r="H1068" s="83"/>
    </row>
    <row r="1069" spans="7:8" hidden="1" x14ac:dyDescent="0.2">
      <c r="G1069" s="77"/>
      <c r="H1069" s="83"/>
    </row>
    <row r="1070" spans="7:8" hidden="1" x14ac:dyDescent="0.2">
      <c r="G1070" s="77"/>
      <c r="H1070" s="83"/>
    </row>
    <row r="1071" spans="7:8" hidden="1" x14ac:dyDescent="0.2">
      <c r="G1071" s="77"/>
      <c r="H1071" s="83"/>
    </row>
    <row r="1072" spans="7:8" hidden="1" x14ac:dyDescent="0.2">
      <c r="G1072" s="77"/>
      <c r="H1072" s="83"/>
    </row>
    <row r="1073" spans="7:8" hidden="1" x14ac:dyDescent="0.2">
      <c r="G1073" s="77"/>
      <c r="H1073" s="83"/>
    </row>
    <row r="1074" spans="7:8" hidden="1" x14ac:dyDescent="0.2">
      <c r="G1074" s="77"/>
      <c r="H1074" s="83"/>
    </row>
    <row r="1075" spans="7:8" hidden="1" x14ac:dyDescent="0.2">
      <c r="G1075" s="77"/>
      <c r="H1075" s="83"/>
    </row>
    <row r="1076" spans="7:8" hidden="1" x14ac:dyDescent="0.2">
      <c r="G1076" s="77"/>
      <c r="H1076" s="83"/>
    </row>
    <row r="1077" spans="7:8" hidden="1" x14ac:dyDescent="0.2">
      <c r="G1077" s="77"/>
      <c r="H1077" s="83"/>
    </row>
    <row r="1078" spans="7:8" hidden="1" x14ac:dyDescent="0.2">
      <c r="G1078" s="77"/>
      <c r="H1078" s="83"/>
    </row>
    <row r="1079" spans="7:8" hidden="1" x14ac:dyDescent="0.2">
      <c r="G1079" s="77"/>
      <c r="H1079" s="83"/>
    </row>
    <row r="1080" spans="7:8" hidden="1" x14ac:dyDescent="0.2">
      <c r="G1080" s="77"/>
      <c r="H1080" s="83"/>
    </row>
    <row r="1081" spans="7:8" hidden="1" x14ac:dyDescent="0.2">
      <c r="G1081" s="77"/>
      <c r="H1081" s="83"/>
    </row>
    <row r="1082" spans="7:8" hidden="1" x14ac:dyDescent="0.2">
      <c r="G1082" s="77"/>
      <c r="H1082" s="83"/>
    </row>
    <row r="1083" spans="7:8" hidden="1" x14ac:dyDescent="0.2">
      <c r="G1083" s="77"/>
      <c r="H1083" s="83"/>
    </row>
    <row r="1084" spans="7:8" hidden="1" x14ac:dyDescent="0.2">
      <c r="G1084" s="77"/>
      <c r="H1084" s="83"/>
    </row>
    <row r="1085" spans="7:8" hidden="1" x14ac:dyDescent="0.2">
      <c r="G1085" s="77"/>
      <c r="H1085" s="83"/>
    </row>
    <row r="1086" spans="7:8" hidden="1" x14ac:dyDescent="0.2">
      <c r="G1086" s="77"/>
      <c r="H1086" s="83"/>
    </row>
    <row r="1087" spans="7:8" hidden="1" x14ac:dyDescent="0.2">
      <c r="G1087" s="77"/>
      <c r="H1087" s="83"/>
    </row>
    <row r="1088" spans="7:8" hidden="1" x14ac:dyDescent="0.2">
      <c r="G1088" s="77"/>
      <c r="H1088" s="83"/>
    </row>
    <row r="1089" spans="7:8" hidden="1" x14ac:dyDescent="0.2">
      <c r="G1089" s="77"/>
      <c r="H1089" s="83"/>
    </row>
    <row r="1090" spans="7:8" hidden="1" x14ac:dyDescent="0.2">
      <c r="G1090" s="77"/>
      <c r="H1090" s="83"/>
    </row>
    <row r="1091" spans="7:8" hidden="1" x14ac:dyDescent="0.2">
      <c r="G1091" s="77"/>
      <c r="H1091" s="83"/>
    </row>
    <row r="1092" spans="7:8" hidden="1" x14ac:dyDescent="0.2">
      <c r="G1092" s="77"/>
      <c r="H1092" s="83"/>
    </row>
    <row r="1093" spans="7:8" hidden="1" x14ac:dyDescent="0.2">
      <c r="G1093" s="77"/>
      <c r="H1093" s="83"/>
    </row>
    <row r="1094" spans="7:8" hidden="1" x14ac:dyDescent="0.2">
      <c r="G1094" s="77"/>
      <c r="H1094" s="83"/>
    </row>
    <row r="1095" spans="7:8" hidden="1" x14ac:dyDescent="0.2">
      <c r="G1095" s="77"/>
      <c r="H1095" s="83"/>
    </row>
    <row r="1096" spans="7:8" hidden="1" x14ac:dyDescent="0.2">
      <c r="G1096" s="77"/>
      <c r="H1096" s="83"/>
    </row>
    <row r="1097" spans="7:8" hidden="1" x14ac:dyDescent="0.2">
      <c r="G1097" s="77"/>
      <c r="H1097" s="83"/>
    </row>
    <row r="1098" spans="7:8" hidden="1" x14ac:dyDescent="0.2">
      <c r="G1098" s="77"/>
      <c r="H1098" s="83"/>
    </row>
    <row r="1099" spans="7:8" hidden="1" x14ac:dyDescent="0.2">
      <c r="G1099" s="77"/>
      <c r="H1099" s="83"/>
    </row>
    <row r="1100" spans="7:8" hidden="1" x14ac:dyDescent="0.2">
      <c r="G1100" s="77"/>
      <c r="H1100" s="83"/>
    </row>
    <row r="1101" spans="7:8" hidden="1" x14ac:dyDescent="0.2">
      <c r="G1101" s="77"/>
      <c r="H1101" s="83"/>
    </row>
    <row r="1102" spans="7:8" hidden="1" x14ac:dyDescent="0.2">
      <c r="G1102" s="77"/>
      <c r="H1102" s="83"/>
    </row>
    <row r="1103" spans="7:8" hidden="1" x14ac:dyDescent="0.2">
      <c r="G1103" s="77"/>
      <c r="H1103" s="83"/>
    </row>
    <row r="1104" spans="7:8" hidden="1" x14ac:dyDescent="0.2">
      <c r="G1104" s="77"/>
      <c r="H1104" s="83"/>
    </row>
    <row r="1105" spans="7:8" hidden="1" x14ac:dyDescent="0.2">
      <c r="G1105" s="77"/>
      <c r="H1105" s="83"/>
    </row>
    <row r="1106" spans="7:8" hidden="1" x14ac:dyDescent="0.2">
      <c r="G1106" s="77"/>
      <c r="H1106" s="83"/>
    </row>
    <row r="1107" spans="7:8" hidden="1" x14ac:dyDescent="0.2">
      <c r="G1107" s="77"/>
      <c r="H1107" s="83"/>
    </row>
    <row r="1108" spans="7:8" hidden="1" x14ac:dyDescent="0.2">
      <c r="G1108" s="77"/>
      <c r="H1108" s="83"/>
    </row>
    <row r="1109" spans="7:8" hidden="1" x14ac:dyDescent="0.2">
      <c r="G1109" s="77"/>
      <c r="H1109" s="83"/>
    </row>
    <row r="1110" spans="7:8" hidden="1" x14ac:dyDescent="0.2">
      <c r="G1110" s="77"/>
      <c r="H1110" s="83"/>
    </row>
    <row r="1111" spans="7:8" hidden="1" x14ac:dyDescent="0.2">
      <c r="G1111" s="77"/>
      <c r="H1111" s="83"/>
    </row>
    <row r="1112" spans="7:8" hidden="1" x14ac:dyDescent="0.2">
      <c r="G1112" s="77"/>
      <c r="H1112" s="83"/>
    </row>
    <row r="1113" spans="7:8" hidden="1" x14ac:dyDescent="0.2">
      <c r="G1113" s="77"/>
      <c r="H1113" s="83"/>
    </row>
    <row r="1114" spans="7:8" hidden="1" x14ac:dyDescent="0.2">
      <c r="G1114" s="77"/>
      <c r="H1114" s="83"/>
    </row>
    <row r="1115" spans="7:8" hidden="1" x14ac:dyDescent="0.2">
      <c r="G1115" s="77"/>
      <c r="H1115" s="83"/>
    </row>
    <row r="1116" spans="7:8" hidden="1" x14ac:dyDescent="0.2">
      <c r="G1116" s="77"/>
      <c r="H1116" s="83"/>
    </row>
    <row r="1117" spans="7:8" hidden="1" x14ac:dyDescent="0.2">
      <c r="G1117" s="77"/>
      <c r="H1117" s="83"/>
    </row>
    <row r="1118" spans="7:8" hidden="1" x14ac:dyDescent="0.2">
      <c r="G1118" s="77"/>
      <c r="H1118" s="83"/>
    </row>
    <row r="1119" spans="7:8" hidden="1" x14ac:dyDescent="0.2">
      <c r="G1119" s="77"/>
      <c r="H1119" s="83"/>
    </row>
    <row r="1120" spans="7:8" hidden="1" x14ac:dyDescent="0.2">
      <c r="G1120" s="77"/>
      <c r="H1120" s="83"/>
    </row>
    <row r="1121" spans="7:8" hidden="1" x14ac:dyDescent="0.2">
      <c r="G1121" s="77"/>
      <c r="H1121" s="83"/>
    </row>
    <row r="1122" spans="7:8" hidden="1" x14ac:dyDescent="0.2">
      <c r="G1122" s="77"/>
      <c r="H1122" s="83"/>
    </row>
    <row r="1123" spans="7:8" hidden="1" x14ac:dyDescent="0.2">
      <c r="G1123" s="77"/>
      <c r="H1123" s="83"/>
    </row>
    <row r="1124" spans="7:8" hidden="1" x14ac:dyDescent="0.2">
      <c r="G1124" s="77"/>
      <c r="H1124" s="83"/>
    </row>
    <row r="1125" spans="7:8" hidden="1" x14ac:dyDescent="0.2">
      <c r="G1125" s="77"/>
      <c r="H1125" s="83"/>
    </row>
    <row r="1126" spans="7:8" hidden="1" x14ac:dyDescent="0.2">
      <c r="G1126" s="77"/>
      <c r="H1126" s="83"/>
    </row>
    <row r="1127" spans="7:8" hidden="1" x14ac:dyDescent="0.2">
      <c r="G1127" s="77"/>
      <c r="H1127" s="83"/>
    </row>
    <row r="1128" spans="7:8" hidden="1" x14ac:dyDescent="0.2">
      <c r="G1128" s="77"/>
      <c r="H1128" s="83"/>
    </row>
    <row r="1129" spans="7:8" hidden="1" x14ac:dyDescent="0.2">
      <c r="G1129" s="77"/>
      <c r="H1129" s="83"/>
    </row>
    <row r="1130" spans="7:8" hidden="1" x14ac:dyDescent="0.2">
      <c r="G1130" s="77"/>
      <c r="H1130" s="83"/>
    </row>
    <row r="1131" spans="7:8" hidden="1" x14ac:dyDescent="0.2">
      <c r="G1131" s="77"/>
      <c r="H1131" s="83"/>
    </row>
    <row r="1132" spans="7:8" hidden="1" x14ac:dyDescent="0.2">
      <c r="G1132" s="77"/>
      <c r="H1132" s="83"/>
    </row>
    <row r="1133" spans="7:8" hidden="1" x14ac:dyDescent="0.2">
      <c r="G1133" s="77"/>
      <c r="H1133" s="83"/>
    </row>
    <row r="1134" spans="7:8" hidden="1" x14ac:dyDescent="0.2">
      <c r="G1134" s="77"/>
      <c r="H1134" s="83"/>
    </row>
    <row r="1135" spans="7:8" hidden="1" x14ac:dyDescent="0.2">
      <c r="G1135" s="77"/>
      <c r="H1135" s="83"/>
    </row>
    <row r="1136" spans="7:8" hidden="1" x14ac:dyDescent="0.2">
      <c r="G1136" s="77"/>
      <c r="H1136" s="83"/>
    </row>
    <row r="1137" spans="7:8" hidden="1" x14ac:dyDescent="0.2">
      <c r="G1137" s="77"/>
      <c r="H1137" s="83"/>
    </row>
    <row r="1138" spans="7:8" hidden="1" x14ac:dyDescent="0.2">
      <c r="G1138" s="77"/>
      <c r="H1138" s="83"/>
    </row>
    <row r="1139" spans="7:8" hidden="1" x14ac:dyDescent="0.2">
      <c r="G1139" s="77"/>
      <c r="H1139" s="83"/>
    </row>
    <row r="1140" spans="7:8" hidden="1" x14ac:dyDescent="0.2">
      <c r="G1140" s="77"/>
      <c r="H1140" s="83"/>
    </row>
    <row r="1141" spans="7:8" hidden="1" x14ac:dyDescent="0.2">
      <c r="G1141" s="77"/>
      <c r="H1141" s="83"/>
    </row>
    <row r="1142" spans="7:8" hidden="1" x14ac:dyDescent="0.2">
      <c r="G1142" s="77"/>
      <c r="H1142" s="83"/>
    </row>
    <row r="1143" spans="7:8" hidden="1" x14ac:dyDescent="0.2">
      <c r="G1143" s="77"/>
      <c r="H1143" s="83"/>
    </row>
    <row r="1144" spans="7:8" hidden="1" x14ac:dyDescent="0.2">
      <c r="G1144" s="77"/>
      <c r="H1144" s="83"/>
    </row>
    <row r="1145" spans="7:8" hidden="1" x14ac:dyDescent="0.2">
      <c r="G1145" s="77"/>
      <c r="H1145" s="83"/>
    </row>
    <row r="1146" spans="7:8" hidden="1" x14ac:dyDescent="0.2">
      <c r="G1146" s="77"/>
      <c r="H1146" s="83"/>
    </row>
    <row r="1147" spans="7:8" hidden="1" x14ac:dyDescent="0.2">
      <c r="G1147" s="77"/>
      <c r="H1147" s="83"/>
    </row>
    <row r="1148" spans="7:8" hidden="1" x14ac:dyDescent="0.2">
      <c r="G1148" s="77"/>
      <c r="H1148" s="83"/>
    </row>
    <row r="1149" spans="7:8" hidden="1" x14ac:dyDescent="0.2">
      <c r="G1149" s="77"/>
      <c r="H1149" s="83"/>
    </row>
    <row r="1150" spans="7:8" hidden="1" x14ac:dyDescent="0.2">
      <c r="G1150" s="77"/>
      <c r="H1150" s="83"/>
    </row>
    <row r="1151" spans="7:8" hidden="1" x14ac:dyDescent="0.2">
      <c r="G1151" s="77"/>
      <c r="H1151" s="83"/>
    </row>
    <row r="1152" spans="7:8" hidden="1" x14ac:dyDescent="0.2">
      <c r="G1152" s="77"/>
      <c r="H1152" s="83"/>
    </row>
    <row r="1153" spans="7:8" hidden="1" x14ac:dyDescent="0.2">
      <c r="G1153" s="77"/>
      <c r="H1153" s="83"/>
    </row>
    <row r="1154" spans="7:8" hidden="1" x14ac:dyDescent="0.2">
      <c r="G1154" s="77"/>
      <c r="H1154" s="83"/>
    </row>
    <row r="1155" spans="7:8" hidden="1" x14ac:dyDescent="0.2">
      <c r="G1155" s="77"/>
      <c r="H1155" s="83"/>
    </row>
    <row r="1156" spans="7:8" hidden="1" x14ac:dyDescent="0.2">
      <c r="G1156" s="77"/>
      <c r="H1156" s="83"/>
    </row>
    <row r="1157" spans="7:8" hidden="1" x14ac:dyDescent="0.2">
      <c r="G1157" s="77"/>
      <c r="H1157" s="83"/>
    </row>
    <row r="1158" spans="7:8" hidden="1" x14ac:dyDescent="0.2">
      <c r="G1158" s="77"/>
      <c r="H1158" s="83"/>
    </row>
    <row r="1159" spans="7:8" hidden="1" x14ac:dyDescent="0.2">
      <c r="G1159" s="77"/>
      <c r="H1159" s="83"/>
    </row>
    <row r="1160" spans="7:8" hidden="1" x14ac:dyDescent="0.2">
      <c r="G1160" s="77"/>
      <c r="H1160" s="83"/>
    </row>
    <row r="1161" spans="7:8" hidden="1" x14ac:dyDescent="0.2">
      <c r="G1161" s="77"/>
      <c r="H1161" s="83"/>
    </row>
    <row r="1162" spans="7:8" hidden="1" x14ac:dyDescent="0.2">
      <c r="G1162" s="77"/>
      <c r="H1162" s="83"/>
    </row>
    <row r="1163" spans="7:8" hidden="1" x14ac:dyDescent="0.2">
      <c r="G1163" s="77"/>
      <c r="H1163" s="83"/>
    </row>
    <row r="1164" spans="7:8" hidden="1" x14ac:dyDescent="0.2">
      <c r="G1164" s="77"/>
      <c r="H1164" s="83"/>
    </row>
    <row r="1165" spans="7:8" hidden="1" x14ac:dyDescent="0.2">
      <c r="G1165" s="77"/>
      <c r="H1165" s="83"/>
    </row>
    <row r="1166" spans="7:8" hidden="1" x14ac:dyDescent="0.2">
      <c r="G1166" s="77"/>
      <c r="H1166" s="83"/>
    </row>
    <row r="1167" spans="7:8" hidden="1" x14ac:dyDescent="0.2">
      <c r="G1167" s="77"/>
      <c r="H1167" s="83"/>
    </row>
    <row r="1168" spans="7:8" hidden="1" x14ac:dyDescent="0.2">
      <c r="G1168" s="77"/>
      <c r="H1168" s="83"/>
    </row>
    <row r="1169" spans="7:8" hidden="1" x14ac:dyDescent="0.2">
      <c r="G1169" s="77"/>
      <c r="H1169" s="83"/>
    </row>
    <row r="1170" spans="7:8" hidden="1" x14ac:dyDescent="0.2">
      <c r="G1170" s="77"/>
      <c r="H1170" s="83"/>
    </row>
    <row r="1171" spans="7:8" hidden="1" x14ac:dyDescent="0.2">
      <c r="G1171" s="77"/>
      <c r="H1171" s="83"/>
    </row>
    <row r="1172" spans="7:8" hidden="1" x14ac:dyDescent="0.2">
      <c r="G1172" s="77"/>
      <c r="H1172" s="83"/>
    </row>
    <row r="1173" spans="7:8" hidden="1" x14ac:dyDescent="0.2">
      <c r="G1173" s="77"/>
      <c r="H1173" s="83"/>
    </row>
    <row r="1174" spans="7:8" hidden="1" x14ac:dyDescent="0.2">
      <c r="G1174" s="77"/>
      <c r="H1174" s="83"/>
    </row>
    <row r="1175" spans="7:8" hidden="1" x14ac:dyDescent="0.2">
      <c r="G1175" s="77"/>
      <c r="H1175" s="83"/>
    </row>
    <row r="1176" spans="7:8" hidden="1" x14ac:dyDescent="0.2">
      <c r="G1176" s="77"/>
      <c r="H1176" s="83"/>
    </row>
    <row r="1177" spans="7:8" hidden="1" x14ac:dyDescent="0.2">
      <c r="G1177" s="77"/>
      <c r="H1177" s="83"/>
    </row>
    <row r="1178" spans="7:8" hidden="1" x14ac:dyDescent="0.2">
      <c r="G1178" s="77"/>
      <c r="H1178" s="83"/>
    </row>
    <row r="1179" spans="7:8" hidden="1" x14ac:dyDescent="0.2">
      <c r="G1179" s="77"/>
      <c r="H1179" s="83"/>
    </row>
    <row r="1180" spans="7:8" hidden="1" x14ac:dyDescent="0.2">
      <c r="G1180" s="77"/>
      <c r="H1180" s="83"/>
    </row>
    <row r="1181" spans="7:8" hidden="1" x14ac:dyDescent="0.2">
      <c r="G1181" s="77"/>
      <c r="H1181" s="83"/>
    </row>
    <row r="1182" spans="7:8" hidden="1" x14ac:dyDescent="0.2">
      <c r="G1182" s="77"/>
      <c r="H1182" s="83"/>
    </row>
    <row r="1183" spans="7:8" hidden="1" x14ac:dyDescent="0.2">
      <c r="G1183" s="77"/>
      <c r="H1183" s="83"/>
    </row>
    <row r="1184" spans="7:8" hidden="1" x14ac:dyDescent="0.2">
      <c r="G1184" s="77"/>
      <c r="H1184" s="83"/>
    </row>
    <row r="1185" spans="7:8" hidden="1" x14ac:dyDescent="0.2">
      <c r="G1185" s="77"/>
      <c r="H1185" s="83"/>
    </row>
    <row r="1186" spans="7:8" hidden="1" x14ac:dyDescent="0.2">
      <c r="G1186" s="77"/>
      <c r="H1186" s="83"/>
    </row>
    <row r="1187" spans="7:8" hidden="1" x14ac:dyDescent="0.2">
      <c r="G1187" s="77"/>
      <c r="H1187" s="83"/>
    </row>
    <row r="1188" spans="7:8" hidden="1" x14ac:dyDescent="0.2">
      <c r="G1188" s="77"/>
      <c r="H1188" s="83"/>
    </row>
    <row r="1189" spans="7:8" hidden="1" x14ac:dyDescent="0.2">
      <c r="G1189" s="77"/>
      <c r="H1189" s="83"/>
    </row>
    <row r="1190" spans="7:8" hidden="1" x14ac:dyDescent="0.2">
      <c r="G1190" s="77"/>
      <c r="H1190" s="83"/>
    </row>
    <row r="1191" spans="7:8" hidden="1" x14ac:dyDescent="0.2">
      <c r="G1191" s="77"/>
      <c r="H1191" s="83"/>
    </row>
    <row r="1192" spans="7:8" hidden="1" x14ac:dyDescent="0.2">
      <c r="G1192" s="77"/>
      <c r="H1192" s="83"/>
    </row>
    <row r="1193" spans="7:8" hidden="1" x14ac:dyDescent="0.2">
      <c r="G1193" s="77"/>
      <c r="H1193" s="83"/>
    </row>
    <row r="1194" spans="7:8" hidden="1" x14ac:dyDescent="0.2">
      <c r="G1194" s="77"/>
      <c r="H1194" s="83"/>
    </row>
    <row r="1195" spans="7:8" hidden="1" x14ac:dyDescent="0.2">
      <c r="G1195" s="77"/>
      <c r="H1195" s="83"/>
    </row>
    <row r="1196" spans="7:8" hidden="1" x14ac:dyDescent="0.2">
      <c r="G1196" s="77"/>
      <c r="H1196" s="83"/>
    </row>
    <row r="1197" spans="7:8" hidden="1" x14ac:dyDescent="0.2">
      <c r="G1197" s="77"/>
      <c r="H1197" s="83"/>
    </row>
    <row r="1198" spans="7:8" hidden="1" x14ac:dyDescent="0.2">
      <c r="G1198" s="77"/>
      <c r="H1198" s="83"/>
    </row>
    <row r="1199" spans="7:8" hidden="1" x14ac:dyDescent="0.2">
      <c r="G1199" s="77"/>
      <c r="H1199" s="83"/>
    </row>
    <row r="1200" spans="7:8" hidden="1" x14ac:dyDescent="0.2">
      <c r="G1200" s="77"/>
      <c r="H1200" s="83"/>
    </row>
    <row r="1201" spans="7:8" hidden="1" x14ac:dyDescent="0.2">
      <c r="G1201" s="77"/>
      <c r="H1201" s="83"/>
    </row>
    <row r="1202" spans="7:8" hidden="1" x14ac:dyDescent="0.2">
      <c r="G1202" s="77"/>
      <c r="H1202" s="83"/>
    </row>
    <row r="1203" spans="7:8" hidden="1" x14ac:dyDescent="0.2">
      <c r="G1203" s="77"/>
      <c r="H1203" s="83"/>
    </row>
    <row r="1204" spans="7:8" hidden="1" x14ac:dyDescent="0.2">
      <c r="G1204" s="77"/>
      <c r="H1204" s="83"/>
    </row>
    <row r="1205" spans="7:8" hidden="1" x14ac:dyDescent="0.2">
      <c r="G1205" s="77"/>
      <c r="H1205" s="83"/>
    </row>
    <row r="1206" spans="7:8" hidden="1" x14ac:dyDescent="0.2">
      <c r="G1206" s="77"/>
      <c r="H1206" s="83"/>
    </row>
    <row r="1207" spans="7:8" hidden="1" x14ac:dyDescent="0.2">
      <c r="G1207" s="77"/>
      <c r="H1207" s="83"/>
    </row>
    <row r="1208" spans="7:8" hidden="1" x14ac:dyDescent="0.2">
      <c r="G1208" s="77"/>
      <c r="H1208" s="83"/>
    </row>
    <row r="1209" spans="7:8" hidden="1" x14ac:dyDescent="0.2">
      <c r="G1209" s="77"/>
      <c r="H1209" s="83"/>
    </row>
    <row r="1210" spans="7:8" hidden="1" x14ac:dyDescent="0.2">
      <c r="G1210" s="77"/>
      <c r="H1210" s="83"/>
    </row>
    <row r="1211" spans="7:8" hidden="1" x14ac:dyDescent="0.2">
      <c r="G1211" s="77"/>
      <c r="H1211" s="83"/>
    </row>
    <row r="1212" spans="7:8" hidden="1" x14ac:dyDescent="0.2">
      <c r="G1212" s="77"/>
      <c r="H1212" s="83"/>
    </row>
    <row r="1213" spans="7:8" hidden="1" x14ac:dyDescent="0.2">
      <c r="G1213" s="77"/>
      <c r="H1213" s="83"/>
    </row>
    <row r="1214" spans="7:8" hidden="1" x14ac:dyDescent="0.2">
      <c r="G1214" s="77"/>
      <c r="H1214" s="83"/>
    </row>
    <row r="1215" spans="7:8" hidden="1" x14ac:dyDescent="0.2">
      <c r="G1215" s="77"/>
      <c r="H1215" s="83"/>
    </row>
    <row r="1216" spans="7:8" hidden="1" x14ac:dyDescent="0.2">
      <c r="G1216" s="77"/>
      <c r="H1216" s="83"/>
    </row>
    <row r="1217" spans="7:8" hidden="1" x14ac:dyDescent="0.2">
      <c r="G1217" s="77"/>
      <c r="H1217" s="83"/>
    </row>
    <row r="1218" spans="7:8" hidden="1" x14ac:dyDescent="0.2">
      <c r="G1218" s="77"/>
      <c r="H1218" s="83"/>
    </row>
    <row r="1219" spans="7:8" hidden="1" x14ac:dyDescent="0.2">
      <c r="G1219" s="77"/>
      <c r="H1219" s="83"/>
    </row>
    <row r="1220" spans="7:8" hidden="1" x14ac:dyDescent="0.2">
      <c r="G1220" s="77"/>
      <c r="H1220" s="83"/>
    </row>
    <row r="1221" spans="7:8" hidden="1" x14ac:dyDescent="0.2">
      <c r="G1221" s="77"/>
      <c r="H1221" s="83"/>
    </row>
    <row r="1222" spans="7:8" hidden="1" x14ac:dyDescent="0.2">
      <c r="G1222" s="77"/>
      <c r="H1222" s="83"/>
    </row>
    <row r="1223" spans="7:8" hidden="1" x14ac:dyDescent="0.2">
      <c r="G1223" s="77"/>
      <c r="H1223" s="83"/>
    </row>
    <row r="1224" spans="7:8" hidden="1" x14ac:dyDescent="0.2">
      <c r="G1224" s="77"/>
      <c r="H1224" s="83"/>
    </row>
    <row r="1225" spans="7:8" hidden="1" x14ac:dyDescent="0.2">
      <c r="G1225" s="77"/>
      <c r="H1225" s="83"/>
    </row>
    <row r="1226" spans="7:8" hidden="1" x14ac:dyDescent="0.2">
      <c r="G1226" s="77"/>
      <c r="H1226" s="83"/>
    </row>
    <row r="1227" spans="7:8" hidden="1" x14ac:dyDescent="0.2">
      <c r="G1227" s="77"/>
      <c r="H1227" s="83"/>
    </row>
    <row r="1228" spans="7:8" hidden="1" x14ac:dyDescent="0.2">
      <c r="G1228" s="77"/>
      <c r="H1228" s="83"/>
    </row>
    <row r="1229" spans="7:8" hidden="1" x14ac:dyDescent="0.2">
      <c r="G1229" s="77"/>
      <c r="H1229" s="83"/>
    </row>
    <row r="1230" spans="7:8" hidden="1" x14ac:dyDescent="0.2">
      <c r="G1230" s="77"/>
      <c r="H1230" s="83"/>
    </row>
    <row r="1231" spans="7:8" hidden="1" x14ac:dyDescent="0.2">
      <c r="G1231" s="77"/>
      <c r="H1231" s="83"/>
    </row>
    <row r="1232" spans="7:8" hidden="1" x14ac:dyDescent="0.2">
      <c r="G1232" s="77"/>
      <c r="H1232" s="83"/>
    </row>
    <row r="1233" spans="7:8" hidden="1" x14ac:dyDescent="0.2">
      <c r="G1233" s="77"/>
      <c r="H1233" s="83"/>
    </row>
    <row r="1234" spans="7:8" hidden="1" x14ac:dyDescent="0.2">
      <c r="G1234" s="77"/>
      <c r="H1234" s="83"/>
    </row>
    <row r="1235" spans="7:8" hidden="1" x14ac:dyDescent="0.2">
      <c r="G1235" s="77"/>
      <c r="H1235" s="83"/>
    </row>
    <row r="1236" spans="7:8" hidden="1" x14ac:dyDescent="0.2">
      <c r="G1236" s="77"/>
      <c r="H1236" s="83"/>
    </row>
    <row r="1237" spans="7:8" hidden="1" x14ac:dyDescent="0.2">
      <c r="G1237" s="77"/>
      <c r="H1237" s="83"/>
    </row>
    <row r="1238" spans="7:8" hidden="1" x14ac:dyDescent="0.2">
      <c r="G1238" s="77"/>
      <c r="H1238" s="83"/>
    </row>
    <row r="1239" spans="7:8" hidden="1" x14ac:dyDescent="0.2">
      <c r="G1239" s="77"/>
      <c r="H1239" s="83"/>
    </row>
    <row r="1240" spans="7:8" hidden="1" x14ac:dyDescent="0.2">
      <c r="G1240" s="77"/>
      <c r="H1240" s="83"/>
    </row>
    <row r="1241" spans="7:8" hidden="1" x14ac:dyDescent="0.2">
      <c r="G1241" s="77"/>
      <c r="H1241" s="83"/>
    </row>
    <row r="1242" spans="7:8" hidden="1" x14ac:dyDescent="0.2">
      <c r="G1242" s="77"/>
      <c r="H1242" s="83"/>
    </row>
    <row r="1243" spans="7:8" hidden="1" x14ac:dyDescent="0.2">
      <c r="G1243" s="77"/>
      <c r="H1243" s="83"/>
    </row>
    <row r="1244" spans="7:8" hidden="1" x14ac:dyDescent="0.2">
      <c r="G1244" s="77"/>
      <c r="H1244" s="83"/>
    </row>
    <row r="1245" spans="7:8" hidden="1" x14ac:dyDescent="0.2">
      <c r="G1245" s="77"/>
      <c r="H1245" s="83"/>
    </row>
    <row r="1246" spans="7:8" hidden="1" x14ac:dyDescent="0.2">
      <c r="G1246" s="77"/>
      <c r="H1246" s="83"/>
    </row>
    <row r="1247" spans="7:8" hidden="1" x14ac:dyDescent="0.2">
      <c r="G1247" s="77"/>
      <c r="H1247" s="83"/>
    </row>
    <row r="1248" spans="7:8" hidden="1" x14ac:dyDescent="0.2">
      <c r="G1248" s="77"/>
      <c r="H1248" s="83"/>
    </row>
    <row r="1249" spans="7:8" hidden="1" x14ac:dyDescent="0.2">
      <c r="G1249" s="77"/>
      <c r="H1249" s="83"/>
    </row>
    <row r="1250" spans="7:8" hidden="1" x14ac:dyDescent="0.2">
      <c r="G1250" s="77"/>
      <c r="H1250" s="83"/>
    </row>
    <row r="1251" spans="7:8" hidden="1" x14ac:dyDescent="0.2">
      <c r="G1251" s="77"/>
      <c r="H1251" s="83"/>
    </row>
    <row r="1252" spans="7:8" hidden="1" x14ac:dyDescent="0.2">
      <c r="G1252" s="77"/>
      <c r="H1252" s="83"/>
    </row>
    <row r="1253" spans="7:8" hidden="1" x14ac:dyDescent="0.2">
      <c r="G1253" s="77"/>
      <c r="H1253" s="83"/>
    </row>
    <row r="1254" spans="7:8" hidden="1" x14ac:dyDescent="0.2">
      <c r="G1254" s="77"/>
      <c r="H1254" s="83"/>
    </row>
    <row r="1255" spans="7:8" hidden="1" x14ac:dyDescent="0.2">
      <c r="G1255" s="77"/>
      <c r="H1255" s="83"/>
    </row>
    <row r="1256" spans="7:8" hidden="1" x14ac:dyDescent="0.2">
      <c r="G1256" s="77"/>
      <c r="H1256" s="83"/>
    </row>
    <row r="1257" spans="7:8" hidden="1" x14ac:dyDescent="0.2">
      <c r="G1257" s="77"/>
      <c r="H1257" s="83"/>
    </row>
    <row r="1258" spans="7:8" hidden="1" x14ac:dyDescent="0.2">
      <c r="G1258" s="77"/>
      <c r="H1258" s="83"/>
    </row>
    <row r="1259" spans="7:8" hidden="1" x14ac:dyDescent="0.2">
      <c r="G1259" s="77"/>
      <c r="H1259" s="83"/>
    </row>
    <row r="1260" spans="7:8" hidden="1" x14ac:dyDescent="0.2">
      <c r="G1260" s="77"/>
      <c r="H1260" s="83"/>
    </row>
    <row r="1261" spans="7:8" hidden="1" x14ac:dyDescent="0.2">
      <c r="G1261" s="77"/>
      <c r="H1261" s="83"/>
    </row>
    <row r="1262" spans="7:8" hidden="1" x14ac:dyDescent="0.2">
      <c r="G1262" s="77"/>
      <c r="H1262" s="83"/>
    </row>
    <row r="1263" spans="7:8" hidden="1" x14ac:dyDescent="0.2">
      <c r="G1263" s="77"/>
      <c r="H1263" s="83"/>
    </row>
    <row r="1264" spans="7:8" hidden="1" x14ac:dyDescent="0.2">
      <c r="G1264" s="77"/>
      <c r="H1264" s="83"/>
    </row>
    <row r="1265" spans="7:8" hidden="1" x14ac:dyDescent="0.2">
      <c r="G1265" s="77"/>
      <c r="H1265" s="83"/>
    </row>
    <row r="1266" spans="7:8" hidden="1" x14ac:dyDescent="0.2">
      <c r="G1266" s="77"/>
      <c r="H1266" s="83"/>
    </row>
    <row r="1267" spans="7:8" hidden="1" x14ac:dyDescent="0.2">
      <c r="G1267" s="77"/>
      <c r="H1267" s="83"/>
    </row>
    <row r="1268" spans="7:8" hidden="1" x14ac:dyDescent="0.2">
      <c r="G1268" s="77"/>
      <c r="H1268" s="83"/>
    </row>
    <row r="1269" spans="7:8" hidden="1" x14ac:dyDescent="0.2">
      <c r="G1269" s="77"/>
      <c r="H1269" s="83"/>
    </row>
    <row r="1270" spans="7:8" hidden="1" x14ac:dyDescent="0.2">
      <c r="G1270" s="77"/>
      <c r="H1270" s="83"/>
    </row>
    <row r="1271" spans="7:8" hidden="1" x14ac:dyDescent="0.2">
      <c r="G1271" s="77"/>
      <c r="H1271" s="83"/>
    </row>
    <row r="1272" spans="7:8" hidden="1" x14ac:dyDescent="0.2">
      <c r="G1272" s="77"/>
      <c r="H1272" s="83"/>
    </row>
    <row r="1273" spans="7:8" hidden="1" x14ac:dyDescent="0.2">
      <c r="G1273" s="77"/>
      <c r="H1273" s="83"/>
    </row>
    <row r="1274" spans="7:8" hidden="1" x14ac:dyDescent="0.2">
      <c r="G1274" s="77"/>
      <c r="H1274" s="83"/>
    </row>
    <row r="1275" spans="7:8" hidden="1" x14ac:dyDescent="0.2">
      <c r="G1275" s="77"/>
      <c r="H1275" s="83"/>
    </row>
    <row r="1276" spans="7:8" hidden="1" x14ac:dyDescent="0.2">
      <c r="G1276" s="77"/>
      <c r="H1276" s="83"/>
    </row>
    <row r="1277" spans="7:8" hidden="1" x14ac:dyDescent="0.2">
      <c r="G1277" s="77"/>
      <c r="H1277" s="83"/>
    </row>
    <row r="1278" spans="7:8" hidden="1" x14ac:dyDescent="0.2">
      <c r="G1278" s="77"/>
      <c r="H1278" s="83"/>
    </row>
    <row r="1279" spans="7:8" hidden="1" x14ac:dyDescent="0.2">
      <c r="G1279" s="77"/>
      <c r="H1279" s="83"/>
    </row>
    <row r="1280" spans="7:8" hidden="1" x14ac:dyDescent="0.2">
      <c r="G1280" s="77"/>
      <c r="H1280" s="83"/>
    </row>
    <row r="1281" spans="7:8" hidden="1" x14ac:dyDescent="0.2">
      <c r="G1281" s="77"/>
      <c r="H1281" s="83"/>
    </row>
    <row r="1282" spans="7:8" hidden="1" x14ac:dyDescent="0.2">
      <c r="G1282" s="77"/>
      <c r="H1282" s="83"/>
    </row>
    <row r="1283" spans="7:8" hidden="1" x14ac:dyDescent="0.2">
      <c r="G1283" s="77"/>
      <c r="H1283" s="83"/>
    </row>
    <row r="1284" spans="7:8" hidden="1" x14ac:dyDescent="0.2">
      <c r="G1284" s="77"/>
      <c r="H1284" s="83"/>
    </row>
    <row r="1285" spans="7:8" hidden="1" x14ac:dyDescent="0.2">
      <c r="G1285" s="77"/>
      <c r="H1285" s="83"/>
    </row>
    <row r="1286" spans="7:8" hidden="1" x14ac:dyDescent="0.2">
      <c r="G1286" s="77"/>
      <c r="H1286" s="83"/>
    </row>
    <row r="1287" spans="7:8" hidden="1" x14ac:dyDescent="0.2">
      <c r="G1287" s="77"/>
      <c r="H1287" s="83"/>
    </row>
    <row r="1288" spans="7:8" hidden="1" x14ac:dyDescent="0.2">
      <c r="G1288" s="77"/>
      <c r="H1288" s="83"/>
    </row>
    <row r="1289" spans="7:8" hidden="1" x14ac:dyDescent="0.2">
      <c r="G1289" s="77"/>
      <c r="H1289" s="83"/>
    </row>
    <row r="1290" spans="7:8" hidden="1" x14ac:dyDescent="0.2">
      <c r="G1290" s="77"/>
      <c r="H1290" s="83"/>
    </row>
    <row r="1291" spans="7:8" hidden="1" x14ac:dyDescent="0.2">
      <c r="G1291" s="77"/>
      <c r="H1291" s="83"/>
    </row>
    <row r="1292" spans="7:8" hidden="1" x14ac:dyDescent="0.2">
      <c r="G1292" s="77"/>
      <c r="H1292" s="83"/>
    </row>
    <row r="1293" spans="7:8" hidden="1" x14ac:dyDescent="0.2">
      <c r="G1293" s="77"/>
      <c r="H1293" s="83"/>
    </row>
    <row r="1294" spans="7:8" hidden="1" x14ac:dyDescent="0.2">
      <c r="G1294" s="77"/>
      <c r="H1294" s="83"/>
    </row>
    <row r="1295" spans="7:8" hidden="1" x14ac:dyDescent="0.2">
      <c r="G1295" s="77"/>
      <c r="H1295" s="83"/>
    </row>
    <row r="1296" spans="7:8" hidden="1" x14ac:dyDescent="0.2">
      <c r="G1296" s="77"/>
      <c r="H1296" s="83"/>
    </row>
    <row r="1297" spans="7:8" hidden="1" x14ac:dyDescent="0.2">
      <c r="G1297" s="77"/>
      <c r="H1297" s="83"/>
    </row>
    <row r="1298" spans="7:8" hidden="1" x14ac:dyDescent="0.2">
      <c r="G1298" s="77"/>
      <c r="H1298" s="83"/>
    </row>
    <row r="1299" spans="7:8" hidden="1" x14ac:dyDescent="0.2">
      <c r="G1299" s="77"/>
      <c r="H1299" s="83"/>
    </row>
    <row r="1300" spans="7:8" hidden="1" x14ac:dyDescent="0.2">
      <c r="G1300" s="77"/>
      <c r="H1300" s="83"/>
    </row>
    <row r="1301" spans="7:8" hidden="1" x14ac:dyDescent="0.2">
      <c r="G1301" s="77"/>
      <c r="H1301" s="83"/>
    </row>
    <row r="1302" spans="7:8" hidden="1" x14ac:dyDescent="0.2">
      <c r="G1302" s="77"/>
      <c r="H1302" s="83"/>
    </row>
    <row r="1303" spans="7:8" hidden="1" x14ac:dyDescent="0.2">
      <c r="G1303" s="77"/>
      <c r="H1303" s="83"/>
    </row>
    <row r="1304" spans="7:8" hidden="1" x14ac:dyDescent="0.2">
      <c r="G1304" s="77"/>
      <c r="H1304" s="83"/>
    </row>
    <row r="1305" spans="7:8" hidden="1" x14ac:dyDescent="0.2">
      <c r="G1305" s="77"/>
      <c r="H1305" s="83"/>
    </row>
    <row r="1306" spans="7:8" hidden="1" x14ac:dyDescent="0.2">
      <c r="G1306" s="77"/>
      <c r="H1306" s="83"/>
    </row>
    <row r="1307" spans="7:8" hidden="1" x14ac:dyDescent="0.2">
      <c r="G1307" s="77"/>
      <c r="H1307" s="83"/>
    </row>
    <row r="1308" spans="7:8" hidden="1" x14ac:dyDescent="0.2">
      <c r="G1308" s="77"/>
      <c r="H1308" s="83"/>
    </row>
    <row r="1309" spans="7:8" hidden="1" x14ac:dyDescent="0.2">
      <c r="G1309" s="77"/>
      <c r="H1309" s="83"/>
    </row>
    <row r="1310" spans="7:8" hidden="1" x14ac:dyDescent="0.2">
      <c r="G1310" s="77"/>
      <c r="H1310" s="83"/>
    </row>
    <row r="1311" spans="7:8" hidden="1" x14ac:dyDescent="0.2">
      <c r="G1311" s="77"/>
      <c r="H1311" s="83"/>
    </row>
    <row r="1312" spans="7:8" hidden="1" x14ac:dyDescent="0.2">
      <c r="G1312" s="77"/>
      <c r="H1312" s="83"/>
    </row>
    <row r="1313" spans="7:8" hidden="1" x14ac:dyDescent="0.2">
      <c r="G1313" s="77"/>
      <c r="H1313" s="83"/>
    </row>
    <row r="1314" spans="7:8" hidden="1" x14ac:dyDescent="0.2">
      <c r="G1314" s="77"/>
      <c r="H1314" s="83"/>
    </row>
    <row r="1315" spans="7:8" hidden="1" x14ac:dyDescent="0.2">
      <c r="G1315" s="77"/>
      <c r="H1315" s="83"/>
    </row>
    <row r="1316" spans="7:8" hidden="1" x14ac:dyDescent="0.2">
      <c r="G1316" s="77"/>
      <c r="H1316" s="83"/>
    </row>
    <row r="1317" spans="7:8" hidden="1" x14ac:dyDescent="0.2">
      <c r="G1317" s="77"/>
      <c r="H1317" s="83"/>
    </row>
    <row r="1318" spans="7:8" hidden="1" x14ac:dyDescent="0.2">
      <c r="G1318" s="77"/>
      <c r="H1318" s="83"/>
    </row>
    <row r="1319" spans="7:8" hidden="1" x14ac:dyDescent="0.2">
      <c r="G1319" s="77"/>
      <c r="H1319" s="83"/>
    </row>
    <row r="1320" spans="7:8" hidden="1" x14ac:dyDescent="0.2">
      <c r="G1320" s="77"/>
      <c r="H1320" s="83"/>
    </row>
    <row r="1321" spans="7:8" hidden="1" x14ac:dyDescent="0.2">
      <c r="G1321" s="77"/>
      <c r="H1321" s="83"/>
    </row>
    <row r="1322" spans="7:8" hidden="1" x14ac:dyDescent="0.2">
      <c r="G1322" s="77"/>
      <c r="H1322" s="83"/>
    </row>
    <row r="1323" spans="7:8" hidden="1" x14ac:dyDescent="0.2">
      <c r="G1323" s="77"/>
      <c r="H1323" s="83"/>
    </row>
    <row r="1324" spans="7:8" hidden="1" x14ac:dyDescent="0.2">
      <c r="G1324" s="77"/>
      <c r="H1324" s="83"/>
    </row>
    <row r="1325" spans="7:8" hidden="1" x14ac:dyDescent="0.2">
      <c r="G1325" s="77"/>
      <c r="H1325" s="83"/>
    </row>
    <row r="1326" spans="7:8" hidden="1" x14ac:dyDescent="0.2">
      <c r="G1326" s="77"/>
      <c r="H1326" s="83"/>
    </row>
    <row r="1327" spans="7:8" hidden="1" x14ac:dyDescent="0.2">
      <c r="G1327" s="77"/>
      <c r="H1327" s="83"/>
    </row>
    <row r="1328" spans="7:8" hidden="1" x14ac:dyDescent="0.2">
      <c r="G1328" s="77"/>
      <c r="H1328" s="83"/>
    </row>
    <row r="1329" spans="7:8" hidden="1" x14ac:dyDescent="0.2">
      <c r="G1329" s="77"/>
      <c r="H1329" s="83"/>
    </row>
    <row r="1330" spans="7:8" hidden="1" x14ac:dyDescent="0.2">
      <c r="G1330" s="77"/>
      <c r="H1330" s="83"/>
    </row>
    <row r="1331" spans="7:8" hidden="1" x14ac:dyDescent="0.2">
      <c r="G1331" s="77"/>
      <c r="H1331" s="83"/>
    </row>
    <row r="1332" spans="7:8" hidden="1" x14ac:dyDescent="0.2">
      <c r="G1332" s="77"/>
      <c r="H1332" s="83"/>
    </row>
    <row r="1333" spans="7:8" hidden="1" x14ac:dyDescent="0.2">
      <c r="G1333" s="77"/>
      <c r="H1333" s="83"/>
    </row>
    <row r="1334" spans="7:8" hidden="1" x14ac:dyDescent="0.2">
      <c r="G1334" s="77"/>
      <c r="H1334" s="83"/>
    </row>
    <row r="1335" spans="7:8" hidden="1" x14ac:dyDescent="0.2">
      <c r="G1335" s="77"/>
      <c r="H1335" s="83"/>
    </row>
    <row r="1336" spans="7:8" hidden="1" x14ac:dyDescent="0.2">
      <c r="G1336" s="77"/>
      <c r="H1336" s="83"/>
    </row>
    <row r="1337" spans="7:8" hidden="1" x14ac:dyDescent="0.2">
      <c r="G1337" s="77"/>
      <c r="H1337" s="83"/>
    </row>
    <row r="1338" spans="7:8" hidden="1" x14ac:dyDescent="0.2">
      <c r="G1338" s="77"/>
      <c r="H1338" s="83"/>
    </row>
    <row r="1339" spans="7:8" hidden="1" x14ac:dyDescent="0.2">
      <c r="G1339" s="77"/>
      <c r="H1339" s="83"/>
    </row>
    <row r="1340" spans="7:8" hidden="1" x14ac:dyDescent="0.2">
      <c r="G1340" s="77"/>
      <c r="H1340" s="83"/>
    </row>
    <row r="1341" spans="7:8" hidden="1" x14ac:dyDescent="0.2">
      <c r="G1341" s="77"/>
      <c r="H1341" s="83"/>
    </row>
    <row r="1342" spans="7:8" hidden="1" x14ac:dyDescent="0.2">
      <c r="G1342" s="77"/>
      <c r="H1342" s="83"/>
    </row>
    <row r="1343" spans="7:8" hidden="1" x14ac:dyDescent="0.2">
      <c r="G1343" s="77"/>
      <c r="H1343" s="83"/>
    </row>
    <row r="1344" spans="7:8" hidden="1" x14ac:dyDescent="0.2">
      <c r="G1344" s="77"/>
      <c r="H1344" s="83"/>
    </row>
    <row r="1345" spans="7:8" hidden="1" x14ac:dyDescent="0.2">
      <c r="G1345" s="77"/>
      <c r="H1345" s="83"/>
    </row>
    <row r="1346" spans="7:8" hidden="1" x14ac:dyDescent="0.2">
      <c r="G1346" s="77"/>
      <c r="H1346" s="83"/>
    </row>
    <row r="1347" spans="7:8" hidden="1" x14ac:dyDescent="0.2">
      <c r="G1347" s="77"/>
      <c r="H1347" s="83"/>
    </row>
    <row r="1348" spans="7:8" hidden="1" x14ac:dyDescent="0.2">
      <c r="G1348" s="77"/>
      <c r="H1348" s="83"/>
    </row>
    <row r="1349" spans="7:8" hidden="1" x14ac:dyDescent="0.2">
      <c r="G1349" s="77"/>
      <c r="H1349" s="83"/>
    </row>
    <row r="1350" spans="7:8" hidden="1" x14ac:dyDescent="0.2">
      <c r="G1350" s="77"/>
      <c r="H1350" s="83"/>
    </row>
    <row r="1351" spans="7:8" hidden="1" x14ac:dyDescent="0.2">
      <c r="G1351" s="77"/>
      <c r="H1351" s="83"/>
    </row>
    <row r="1352" spans="7:8" hidden="1" x14ac:dyDescent="0.2">
      <c r="G1352" s="77"/>
      <c r="H1352" s="83"/>
    </row>
    <row r="1353" spans="7:8" hidden="1" x14ac:dyDescent="0.2">
      <c r="G1353" s="77"/>
      <c r="H1353" s="83"/>
    </row>
    <row r="1354" spans="7:8" hidden="1" x14ac:dyDescent="0.2">
      <c r="G1354" s="77"/>
      <c r="H1354" s="83"/>
    </row>
    <row r="1355" spans="7:8" hidden="1" x14ac:dyDescent="0.2">
      <c r="G1355" s="77"/>
      <c r="H1355" s="83"/>
    </row>
    <row r="1356" spans="7:8" hidden="1" x14ac:dyDescent="0.2">
      <c r="G1356" s="77"/>
      <c r="H1356" s="83"/>
    </row>
    <row r="1357" spans="7:8" hidden="1" x14ac:dyDescent="0.2">
      <c r="G1357" s="77"/>
      <c r="H1357" s="83"/>
    </row>
    <row r="1358" spans="7:8" hidden="1" x14ac:dyDescent="0.2">
      <c r="G1358" s="77"/>
      <c r="H1358" s="83"/>
    </row>
    <row r="1359" spans="7:8" hidden="1" x14ac:dyDescent="0.2">
      <c r="G1359" s="77"/>
      <c r="H1359" s="83"/>
    </row>
    <row r="1360" spans="7:8" hidden="1" x14ac:dyDescent="0.2">
      <c r="G1360" s="77"/>
      <c r="H1360" s="83"/>
    </row>
    <row r="1361" spans="7:8" hidden="1" x14ac:dyDescent="0.2">
      <c r="G1361" s="77"/>
      <c r="H1361" s="83"/>
    </row>
    <row r="1362" spans="7:8" hidden="1" x14ac:dyDescent="0.2">
      <c r="G1362" s="77"/>
      <c r="H1362" s="83"/>
    </row>
    <row r="1363" spans="7:8" hidden="1" x14ac:dyDescent="0.2">
      <c r="G1363" s="77"/>
      <c r="H1363" s="83"/>
    </row>
    <row r="1364" spans="7:8" hidden="1" x14ac:dyDescent="0.2">
      <c r="G1364" s="77"/>
      <c r="H1364" s="83"/>
    </row>
    <row r="1365" spans="7:8" hidden="1" x14ac:dyDescent="0.2">
      <c r="G1365" s="77"/>
      <c r="H1365" s="83"/>
    </row>
    <row r="1366" spans="7:8" hidden="1" x14ac:dyDescent="0.2">
      <c r="G1366" s="77"/>
      <c r="H1366" s="83"/>
    </row>
    <row r="1367" spans="7:8" hidden="1" x14ac:dyDescent="0.2">
      <c r="G1367" s="77"/>
      <c r="H1367" s="83"/>
    </row>
    <row r="1368" spans="7:8" hidden="1" x14ac:dyDescent="0.2">
      <c r="G1368" s="77"/>
      <c r="H1368" s="83"/>
    </row>
    <row r="1369" spans="7:8" hidden="1" x14ac:dyDescent="0.2">
      <c r="G1369" s="77"/>
      <c r="H1369" s="83"/>
    </row>
    <row r="1370" spans="7:8" hidden="1" x14ac:dyDescent="0.2">
      <c r="G1370" s="77"/>
      <c r="H1370" s="83"/>
    </row>
    <row r="1371" spans="7:8" hidden="1" x14ac:dyDescent="0.2">
      <c r="G1371" s="77"/>
      <c r="H1371" s="83"/>
    </row>
    <row r="1372" spans="7:8" hidden="1" x14ac:dyDescent="0.2">
      <c r="G1372" s="77"/>
      <c r="H1372" s="83"/>
    </row>
    <row r="1373" spans="7:8" hidden="1" x14ac:dyDescent="0.2">
      <c r="G1373" s="77"/>
      <c r="H1373" s="83"/>
    </row>
    <row r="1374" spans="7:8" hidden="1" x14ac:dyDescent="0.2">
      <c r="G1374" s="77"/>
      <c r="H1374" s="83"/>
    </row>
    <row r="1375" spans="7:8" hidden="1" x14ac:dyDescent="0.2">
      <c r="G1375" s="77"/>
      <c r="H1375" s="83"/>
    </row>
    <row r="1376" spans="7:8" hidden="1" x14ac:dyDescent="0.2">
      <c r="G1376" s="77"/>
      <c r="H1376" s="83"/>
    </row>
    <row r="1377" spans="7:8" hidden="1" x14ac:dyDescent="0.2">
      <c r="G1377" s="77"/>
      <c r="H1377" s="83"/>
    </row>
    <row r="1378" spans="7:8" hidden="1" x14ac:dyDescent="0.2">
      <c r="G1378" s="77"/>
      <c r="H1378" s="83"/>
    </row>
    <row r="1379" spans="7:8" hidden="1" x14ac:dyDescent="0.2">
      <c r="G1379" s="77"/>
      <c r="H1379" s="83"/>
    </row>
    <row r="1380" spans="7:8" hidden="1" x14ac:dyDescent="0.2">
      <c r="G1380" s="77"/>
      <c r="H1380" s="83"/>
    </row>
    <row r="1381" spans="7:8" hidden="1" x14ac:dyDescent="0.2">
      <c r="G1381" s="77"/>
      <c r="H1381" s="83"/>
    </row>
    <row r="1382" spans="7:8" hidden="1" x14ac:dyDescent="0.2">
      <c r="G1382" s="77"/>
      <c r="H1382" s="83"/>
    </row>
    <row r="1383" spans="7:8" hidden="1" x14ac:dyDescent="0.2">
      <c r="G1383" s="77"/>
      <c r="H1383" s="83"/>
    </row>
    <row r="1384" spans="7:8" hidden="1" x14ac:dyDescent="0.2">
      <c r="G1384" s="77"/>
      <c r="H1384" s="83"/>
    </row>
    <row r="1385" spans="7:8" hidden="1" x14ac:dyDescent="0.2">
      <c r="G1385" s="77"/>
      <c r="H1385" s="83"/>
    </row>
    <row r="1386" spans="7:8" hidden="1" x14ac:dyDescent="0.2">
      <c r="G1386" s="77"/>
      <c r="H1386" s="83"/>
    </row>
    <row r="1387" spans="7:8" hidden="1" x14ac:dyDescent="0.2">
      <c r="G1387" s="77"/>
      <c r="H1387" s="83"/>
    </row>
    <row r="1388" spans="7:8" hidden="1" x14ac:dyDescent="0.2">
      <c r="G1388" s="77"/>
      <c r="H1388" s="83"/>
    </row>
    <row r="1389" spans="7:8" hidden="1" x14ac:dyDescent="0.2">
      <c r="G1389" s="77"/>
      <c r="H1389" s="83"/>
    </row>
    <row r="1390" spans="7:8" hidden="1" x14ac:dyDescent="0.2">
      <c r="G1390" s="77"/>
      <c r="H1390" s="83"/>
    </row>
    <row r="1391" spans="7:8" hidden="1" x14ac:dyDescent="0.2">
      <c r="G1391" s="77"/>
      <c r="H1391" s="83"/>
    </row>
    <row r="1392" spans="7:8" hidden="1" x14ac:dyDescent="0.2">
      <c r="G1392" s="77"/>
      <c r="H1392" s="83"/>
    </row>
    <row r="1393" spans="7:8" hidden="1" x14ac:dyDescent="0.2">
      <c r="G1393" s="77"/>
      <c r="H1393" s="83"/>
    </row>
    <row r="1394" spans="7:8" hidden="1" x14ac:dyDescent="0.2">
      <c r="G1394" s="77"/>
      <c r="H1394" s="83"/>
    </row>
    <row r="1395" spans="7:8" hidden="1" x14ac:dyDescent="0.2">
      <c r="G1395" s="77"/>
      <c r="H1395" s="83"/>
    </row>
    <row r="1396" spans="7:8" hidden="1" x14ac:dyDescent="0.2">
      <c r="G1396" s="77"/>
      <c r="H1396" s="83"/>
    </row>
    <row r="1397" spans="7:8" hidden="1" x14ac:dyDescent="0.2">
      <c r="G1397" s="77"/>
      <c r="H1397" s="83"/>
    </row>
    <row r="1398" spans="7:8" hidden="1" x14ac:dyDescent="0.2">
      <c r="G1398" s="77"/>
      <c r="H1398" s="83"/>
    </row>
    <row r="1399" spans="7:8" hidden="1" x14ac:dyDescent="0.2">
      <c r="G1399" s="77"/>
      <c r="H1399" s="83"/>
    </row>
    <row r="1400" spans="7:8" hidden="1" x14ac:dyDescent="0.2">
      <c r="G1400" s="77"/>
      <c r="H1400" s="83"/>
    </row>
    <row r="1401" spans="7:8" hidden="1" x14ac:dyDescent="0.2">
      <c r="G1401" s="77"/>
      <c r="H1401" s="83"/>
    </row>
    <row r="1402" spans="7:8" hidden="1" x14ac:dyDescent="0.2">
      <c r="G1402" s="77"/>
      <c r="H1402" s="83"/>
    </row>
    <row r="1403" spans="7:8" hidden="1" x14ac:dyDescent="0.2">
      <c r="G1403" s="77"/>
      <c r="H1403" s="83"/>
    </row>
    <row r="1404" spans="7:8" hidden="1" x14ac:dyDescent="0.2">
      <c r="G1404" s="77"/>
      <c r="H1404" s="83"/>
    </row>
    <row r="1405" spans="7:8" hidden="1" x14ac:dyDescent="0.2">
      <c r="G1405" s="77"/>
      <c r="H1405" s="83"/>
    </row>
    <row r="1406" spans="7:8" hidden="1" x14ac:dyDescent="0.2">
      <c r="G1406" s="77"/>
      <c r="H1406" s="83"/>
    </row>
    <row r="1407" spans="7:8" hidden="1" x14ac:dyDescent="0.2">
      <c r="G1407" s="77"/>
      <c r="H1407" s="83"/>
    </row>
    <row r="1408" spans="7:8" hidden="1" x14ac:dyDescent="0.2">
      <c r="G1408" s="77"/>
      <c r="H1408" s="83"/>
    </row>
    <row r="1409" spans="7:8" hidden="1" x14ac:dyDescent="0.2">
      <c r="G1409" s="77"/>
      <c r="H1409" s="83"/>
    </row>
    <row r="1410" spans="7:8" hidden="1" x14ac:dyDescent="0.2">
      <c r="G1410" s="77"/>
      <c r="H1410" s="83"/>
    </row>
    <row r="1411" spans="7:8" hidden="1" x14ac:dyDescent="0.2">
      <c r="G1411" s="77"/>
      <c r="H1411" s="83"/>
    </row>
    <row r="1412" spans="7:8" hidden="1" x14ac:dyDescent="0.2">
      <c r="G1412" s="77"/>
      <c r="H1412" s="83"/>
    </row>
    <row r="1413" spans="7:8" hidden="1" x14ac:dyDescent="0.2">
      <c r="G1413" s="77"/>
      <c r="H1413" s="83"/>
    </row>
    <row r="1414" spans="7:8" hidden="1" x14ac:dyDescent="0.2">
      <c r="G1414" s="77"/>
      <c r="H1414" s="83"/>
    </row>
    <row r="1415" spans="7:8" hidden="1" x14ac:dyDescent="0.2">
      <c r="G1415" s="77"/>
      <c r="H1415" s="83"/>
    </row>
    <row r="1416" spans="7:8" hidden="1" x14ac:dyDescent="0.2">
      <c r="G1416" s="77"/>
      <c r="H1416" s="83"/>
    </row>
    <row r="1417" spans="7:8" hidden="1" x14ac:dyDescent="0.2">
      <c r="G1417" s="77"/>
      <c r="H1417" s="83"/>
    </row>
    <row r="1418" spans="7:8" hidden="1" x14ac:dyDescent="0.2">
      <c r="G1418" s="77"/>
      <c r="H1418" s="83"/>
    </row>
    <row r="1419" spans="7:8" hidden="1" x14ac:dyDescent="0.2">
      <c r="G1419" s="77"/>
      <c r="H1419" s="83"/>
    </row>
    <row r="1420" spans="7:8" hidden="1" x14ac:dyDescent="0.2">
      <c r="G1420" s="77"/>
      <c r="H1420" s="83"/>
    </row>
    <row r="1421" spans="7:8" hidden="1" x14ac:dyDescent="0.2">
      <c r="G1421" s="77"/>
      <c r="H1421" s="83"/>
    </row>
    <row r="1422" spans="7:8" hidden="1" x14ac:dyDescent="0.2">
      <c r="G1422" s="77"/>
      <c r="H1422" s="83"/>
    </row>
    <row r="1423" spans="7:8" hidden="1" x14ac:dyDescent="0.2">
      <c r="G1423" s="77"/>
      <c r="H1423" s="83"/>
    </row>
    <row r="1424" spans="7:8" hidden="1" x14ac:dyDescent="0.2">
      <c r="G1424" s="77"/>
      <c r="H1424" s="83"/>
    </row>
    <row r="1425" spans="7:8" hidden="1" x14ac:dyDescent="0.2">
      <c r="G1425" s="77"/>
      <c r="H1425" s="83"/>
    </row>
    <row r="1426" spans="7:8" hidden="1" x14ac:dyDescent="0.2">
      <c r="G1426" s="77"/>
      <c r="H1426" s="83"/>
    </row>
    <row r="1427" spans="7:8" hidden="1" x14ac:dyDescent="0.2">
      <c r="G1427" s="77"/>
      <c r="H1427" s="83"/>
    </row>
    <row r="1428" spans="7:8" hidden="1" x14ac:dyDescent="0.2">
      <c r="G1428" s="77"/>
      <c r="H1428" s="83"/>
    </row>
    <row r="1429" spans="7:8" hidden="1" x14ac:dyDescent="0.2">
      <c r="G1429" s="77"/>
      <c r="H1429" s="83"/>
    </row>
    <row r="1430" spans="7:8" hidden="1" x14ac:dyDescent="0.2">
      <c r="G1430" s="77"/>
      <c r="H1430" s="83"/>
    </row>
    <row r="1431" spans="7:8" hidden="1" x14ac:dyDescent="0.2">
      <c r="G1431" s="77"/>
      <c r="H1431" s="83"/>
    </row>
    <row r="1432" spans="7:8" hidden="1" x14ac:dyDescent="0.2">
      <c r="G1432" s="77"/>
      <c r="H1432" s="83"/>
    </row>
    <row r="1433" spans="7:8" hidden="1" x14ac:dyDescent="0.2">
      <c r="G1433" s="77"/>
      <c r="H1433" s="83"/>
    </row>
    <row r="1434" spans="7:8" hidden="1" x14ac:dyDescent="0.2">
      <c r="G1434" s="77"/>
      <c r="H1434" s="83"/>
    </row>
    <row r="1435" spans="7:8" hidden="1" x14ac:dyDescent="0.2">
      <c r="G1435" s="77"/>
      <c r="H1435" s="83"/>
    </row>
    <row r="1436" spans="7:8" hidden="1" x14ac:dyDescent="0.2">
      <c r="G1436" s="77"/>
      <c r="H1436" s="83"/>
    </row>
    <row r="1437" spans="7:8" hidden="1" x14ac:dyDescent="0.2">
      <c r="G1437" s="77"/>
      <c r="H1437" s="83"/>
    </row>
    <row r="1438" spans="7:8" hidden="1" x14ac:dyDescent="0.2">
      <c r="G1438" s="77"/>
      <c r="H1438" s="83"/>
    </row>
    <row r="1439" spans="7:8" hidden="1" x14ac:dyDescent="0.2">
      <c r="G1439" s="77"/>
      <c r="H1439" s="83"/>
    </row>
    <row r="1440" spans="7:8" hidden="1" x14ac:dyDescent="0.2">
      <c r="G1440" s="77"/>
      <c r="H1440" s="83"/>
    </row>
    <row r="1441" spans="7:8" hidden="1" x14ac:dyDescent="0.2">
      <c r="G1441" s="77"/>
      <c r="H1441" s="83"/>
    </row>
    <row r="1442" spans="7:8" hidden="1" x14ac:dyDescent="0.2">
      <c r="G1442" s="77"/>
      <c r="H1442" s="83"/>
    </row>
    <row r="1443" spans="7:8" hidden="1" x14ac:dyDescent="0.2">
      <c r="G1443" s="77"/>
      <c r="H1443" s="83"/>
    </row>
    <row r="1444" spans="7:8" hidden="1" x14ac:dyDescent="0.2">
      <c r="G1444" s="77"/>
      <c r="H1444" s="83"/>
    </row>
    <row r="1445" spans="7:8" hidden="1" x14ac:dyDescent="0.2">
      <c r="G1445" s="77"/>
      <c r="H1445" s="83"/>
    </row>
    <row r="1446" spans="7:8" hidden="1" x14ac:dyDescent="0.2">
      <c r="G1446" s="77"/>
      <c r="H1446" s="83"/>
    </row>
    <row r="1447" spans="7:8" hidden="1" x14ac:dyDescent="0.2">
      <c r="G1447" s="77"/>
      <c r="H1447" s="83"/>
    </row>
    <row r="1448" spans="7:8" hidden="1" x14ac:dyDescent="0.2">
      <c r="G1448" s="77"/>
      <c r="H1448" s="83"/>
    </row>
    <row r="1449" spans="7:8" hidden="1" x14ac:dyDescent="0.2">
      <c r="G1449" s="77"/>
      <c r="H1449" s="83"/>
    </row>
    <row r="1450" spans="7:8" hidden="1" x14ac:dyDescent="0.2">
      <c r="G1450" s="77"/>
      <c r="H1450" s="83"/>
    </row>
    <row r="1451" spans="7:8" hidden="1" x14ac:dyDescent="0.2">
      <c r="G1451" s="77"/>
      <c r="H1451" s="83"/>
    </row>
    <row r="1452" spans="7:8" hidden="1" x14ac:dyDescent="0.2">
      <c r="G1452" s="77"/>
      <c r="H1452" s="83"/>
    </row>
    <row r="1453" spans="7:8" hidden="1" x14ac:dyDescent="0.2">
      <c r="G1453" s="77"/>
      <c r="H1453" s="83"/>
    </row>
    <row r="1454" spans="7:8" hidden="1" x14ac:dyDescent="0.2">
      <c r="G1454" s="77"/>
      <c r="H1454" s="83"/>
    </row>
    <row r="1455" spans="7:8" hidden="1" x14ac:dyDescent="0.2">
      <c r="G1455" s="77"/>
      <c r="H1455" s="83"/>
    </row>
    <row r="1456" spans="7:8" hidden="1" x14ac:dyDescent="0.2">
      <c r="G1456" s="77"/>
      <c r="H1456" s="83"/>
    </row>
    <row r="1457" spans="7:8" hidden="1" x14ac:dyDescent="0.2">
      <c r="G1457" s="77"/>
      <c r="H1457" s="83"/>
    </row>
    <row r="1458" spans="7:8" hidden="1" x14ac:dyDescent="0.2">
      <c r="G1458" s="77"/>
      <c r="H1458" s="83"/>
    </row>
    <row r="1459" spans="7:8" hidden="1" x14ac:dyDescent="0.2">
      <c r="G1459" s="77"/>
      <c r="H1459" s="83"/>
    </row>
    <row r="1460" spans="7:8" hidden="1" x14ac:dyDescent="0.2">
      <c r="G1460" s="77"/>
      <c r="H1460" s="83"/>
    </row>
    <row r="1461" spans="7:8" hidden="1" x14ac:dyDescent="0.2">
      <c r="G1461" s="77"/>
      <c r="H1461" s="83"/>
    </row>
    <row r="1462" spans="7:8" hidden="1" x14ac:dyDescent="0.2">
      <c r="G1462" s="77"/>
      <c r="H1462" s="83"/>
    </row>
    <row r="1463" spans="7:8" hidden="1" x14ac:dyDescent="0.2">
      <c r="G1463" s="77"/>
      <c r="H1463" s="83"/>
    </row>
    <row r="1464" spans="7:8" hidden="1" x14ac:dyDescent="0.2">
      <c r="G1464" s="77"/>
      <c r="H1464" s="83"/>
    </row>
    <row r="1465" spans="7:8" hidden="1" x14ac:dyDescent="0.2">
      <c r="G1465" s="77"/>
      <c r="H1465" s="83"/>
    </row>
    <row r="1466" spans="7:8" hidden="1" x14ac:dyDescent="0.2">
      <c r="G1466" s="77"/>
      <c r="H1466" s="83"/>
    </row>
    <row r="1467" spans="7:8" hidden="1" x14ac:dyDescent="0.2">
      <c r="G1467" s="77"/>
      <c r="H1467" s="83"/>
    </row>
    <row r="1468" spans="7:8" hidden="1" x14ac:dyDescent="0.2">
      <c r="G1468" s="77"/>
      <c r="H1468" s="83"/>
    </row>
    <row r="1469" spans="7:8" hidden="1" x14ac:dyDescent="0.2">
      <c r="G1469" s="77"/>
      <c r="H1469" s="83"/>
    </row>
    <row r="1470" spans="7:8" hidden="1" x14ac:dyDescent="0.2">
      <c r="G1470" s="77"/>
      <c r="H1470" s="83"/>
    </row>
    <row r="1471" spans="7:8" hidden="1" x14ac:dyDescent="0.2">
      <c r="G1471" s="77"/>
      <c r="H1471" s="83"/>
    </row>
    <row r="1472" spans="7:8" hidden="1" x14ac:dyDescent="0.2">
      <c r="G1472" s="77"/>
      <c r="H1472" s="83"/>
    </row>
    <row r="1473" spans="7:8" hidden="1" x14ac:dyDescent="0.2">
      <c r="G1473" s="77"/>
      <c r="H1473" s="83"/>
    </row>
    <row r="1474" spans="7:8" hidden="1" x14ac:dyDescent="0.2">
      <c r="G1474" s="77"/>
      <c r="H1474" s="83"/>
    </row>
    <row r="1475" spans="7:8" hidden="1" x14ac:dyDescent="0.2">
      <c r="G1475" s="77"/>
      <c r="H1475" s="83"/>
    </row>
    <row r="1476" spans="7:8" hidden="1" x14ac:dyDescent="0.2">
      <c r="G1476" s="77"/>
      <c r="H1476" s="83"/>
    </row>
    <row r="1477" spans="7:8" hidden="1" x14ac:dyDescent="0.2">
      <c r="G1477" s="77"/>
      <c r="H1477" s="83"/>
    </row>
    <row r="1478" spans="7:8" hidden="1" x14ac:dyDescent="0.2">
      <c r="G1478" s="77"/>
      <c r="H1478" s="83"/>
    </row>
    <row r="1479" spans="7:8" hidden="1" x14ac:dyDescent="0.2">
      <c r="G1479" s="77"/>
      <c r="H1479" s="83"/>
    </row>
    <row r="1480" spans="7:8" hidden="1" x14ac:dyDescent="0.2">
      <c r="G1480" s="77"/>
      <c r="H1480" s="83"/>
    </row>
    <row r="1481" spans="7:8" hidden="1" x14ac:dyDescent="0.2">
      <c r="G1481" s="77"/>
      <c r="H1481" s="83"/>
    </row>
    <row r="1482" spans="7:8" hidden="1" x14ac:dyDescent="0.2">
      <c r="G1482" s="77"/>
      <c r="H1482" s="83"/>
    </row>
    <row r="1483" spans="7:8" hidden="1" x14ac:dyDescent="0.2">
      <c r="G1483" s="77"/>
      <c r="H1483" s="83"/>
    </row>
    <row r="1484" spans="7:8" hidden="1" x14ac:dyDescent="0.2">
      <c r="G1484" s="77"/>
      <c r="H1484" s="83"/>
    </row>
    <row r="1485" spans="7:8" hidden="1" x14ac:dyDescent="0.2">
      <c r="G1485" s="77"/>
      <c r="H1485" s="83"/>
    </row>
    <row r="1486" spans="7:8" hidden="1" x14ac:dyDescent="0.2">
      <c r="G1486" s="77"/>
      <c r="H1486" s="83"/>
    </row>
    <row r="1487" spans="7:8" hidden="1" x14ac:dyDescent="0.2">
      <c r="G1487" s="77"/>
      <c r="H1487" s="83"/>
    </row>
    <row r="1488" spans="7:8" hidden="1" x14ac:dyDescent="0.2">
      <c r="G1488" s="77"/>
      <c r="H1488" s="83"/>
    </row>
    <row r="1489" spans="7:8" hidden="1" x14ac:dyDescent="0.2">
      <c r="G1489" s="77"/>
      <c r="H1489" s="83"/>
    </row>
    <row r="1490" spans="7:8" hidden="1" x14ac:dyDescent="0.2">
      <c r="G1490" s="77"/>
      <c r="H1490" s="83"/>
    </row>
    <row r="1491" spans="7:8" hidden="1" x14ac:dyDescent="0.2">
      <c r="G1491" s="77"/>
      <c r="H1491" s="83"/>
    </row>
    <row r="1492" spans="7:8" hidden="1" x14ac:dyDescent="0.2">
      <c r="G1492" s="77"/>
      <c r="H1492" s="83"/>
    </row>
    <row r="1493" spans="7:8" hidden="1" x14ac:dyDescent="0.2">
      <c r="G1493" s="77"/>
      <c r="H1493" s="83"/>
    </row>
    <row r="1494" spans="7:8" hidden="1" x14ac:dyDescent="0.2">
      <c r="G1494" s="77"/>
      <c r="H1494" s="83"/>
    </row>
    <row r="1495" spans="7:8" hidden="1" x14ac:dyDescent="0.2">
      <c r="G1495" s="77"/>
      <c r="H1495" s="83"/>
    </row>
    <row r="1496" spans="7:8" hidden="1" x14ac:dyDescent="0.2">
      <c r="G1496" s="77"/>
      <c r="H1496" s="83"/>
    </row>
    <row r="1497" spans="7:8" hidden="1" x14ac:dyDescent="0.2">
      <c r="G1497" s="77"/>
      <c r="H1497" s="83"/>
    </row>
    <row r="1498" spans="7:8" hidden="1" x14ac:dyDescent="0.2">
      <c r="G1498" s="77"/>
      <c r="H1498" s="83"/>
    </row>
    <row r="1499" spans="7:8" hidden="1" x14ac:dyDescent="0.2">
      <c r="G1499" s="77"/>
      <c r="H1499" s="83"/>
    </row>
    <row r="1500" spans="7:8" hidden="1" x14ac:dyDescent="0.2">
      <c r="G1500" s="77"/>
      <c r="H1500" s="83"/>
    </row>
    <row r="1501" spans="7:8" hidden="1" x14ac:dyDescent="0.2">
      <c r="G1501" s="77"/>
      <c r="H1501" s="83"/>
    </row>
    <row r="1502" spans="7:8" hidden="1" x14ac:dyDescent="0.2">
      <c r="G1502" s="77"/>
      <c r="H1502" s="83"/>
    </row>
    <row r="1503" spans="7:8" hidden="1" x14ac:dyDescent="0.2">
      <c r="G1503" s="77"/>
      <c r="H1503" s="83"/>
    </row>
    <row r="1504" spans="7:8" hidden="1" x14ac:dyDescent="0.2">
      <c r="G1504" s="77"/>
      <c r="H1504" s="83"/>
    </row>
    <row r="1505" spans="7:8" hidden="1" x14ac:dyDescent="0.2">
      <c r="G1505" s="77"/>
      <c r="H1505" s="83"/>
    </row>
    <row r="1506" spans="7:8" hidden="1" x14ac:dyDescent="0.2">
      <c r="G1506" s="77"/>
      <c r="H1506" s="83"/>
    </row>
    <row r="1507" spans="7:8" hidden="1" x14ac:dyDescent="0.2">
      <c r="G1507" s="77"/>
      <c r="H1507" s="83"/>
    </row>
    <row r="1508" spans="7:8" hidden="1" x14ac:dyDescent="0.2">
      <c r="G1508" s="77"/>
      <c r="H1508" s="83"/>
    </row>
    <row r="1509" spans="7:8" hidden="1" x14ac:dyDescent="0.2">
      <c r="G1509" s="77"/>
      <c r="H1509" s="83"/>
    </row>
    <row r="1510" spans="7:8" hidden="1" x14ac:dyDescent="0.2">
      <c r="G1510" s="77"/>
      <c r="H1510" s="83"/>
    </row>
    <row r="1511" spans="7:8" hidden="1" x14ac:dyDescent="0.2">
      <c r="G1511" s="77"/>
      <c r="H1511" s="83"/>
    </row>
    <row r="1512" spans="7:8" hidden="1" x14ac:dyDescent="0.2">
      <c r="G1512" s="77"/>
      <c r="H1512" s="83"/>
    </row>
    <row r="1513" spans="7:8" hidden="1" x14ac:dyDescent="0.2">
      <c r="G1513" s="77"/>
      <c r="H1513" s="83"/>
    </row>
    <row r="1514" spans="7:8" hidden="1" x14ac:dyDescent="0.2">
      <c r="G1514" s="77"/>
      <c r="H1514" s="83"/>
    </row>
    <row r="1515" spans="7:8" hidden="1" x14ac:dyDescent="0.2">
      <c r="G1515" s="77"/>
      <c r="H1515" s="83"/>
    </row>
    <row r="1516" spans="7:8" hidden="1" x14ac:dyDescent="0.2">
      <c r="G1516" s="77"/>
      <c r="H1516" s="83"/>
    </row>
    <row r="1517" spans="7:8" hidden="1" x14ac:dyDescent="0.2">
      <c r="G1517" s="77"/>
      <c r="H1517" s="83"/>
    </row>
    <row r="1518" spans="7:8" hidden="1" x14ac:dyDescent="0.2">
      <c r="G1518" s="77"/>
      <c r="H1518" s="83"/>
    </row>
    <row r="1519" spans="7:8" hidden="1" x14ac:dyDescent="0.2">
      <c r="G1519" s="77"/>
      <c r="H1519" s="83"/>
    </row>
    <row r="1520" spans="7:8" hidden="1" x14ac:dyDescent="0.2">
      <c r="G1520" s="77"/>
      <c r="H1520" s="83"/>
    </row>
    <row r="1521" spans="7:8" hidden="1" x14ac:dyDescent="0.2">
      <c r="G1521" s="77"/>
      <c r="H1521" s="83"/>
    </row>
    <row r="1522" spans="7:8" hidden="1" x14ac:dyDescent="0.2">
      <c r="G1522" s="77"/>
      <c r="H1522" s="83"/>
    </row>
    <row r="1523" spans="7:8" hidden="1" x14ac:dyDescent="0.2">
      <c r="G1523" s="77"/>
      <c r="H1523" s="83"/>
    </row>
    <row r="1524" spans="7:8" hidden="1" x14ac:dyDescent="0.2">
      <c r="G1524" s="77"/>
      <c r="H1524" s="83"/>
    </row>
    <row r="1525" spans="7:8" hidden="1" x14ac:dyDescent="0.2">
      <c r="G1525" s="77"/>
      <c r="H1525" s="83"/>
    </row>
    <row r="1526" spans="7:8" hidden="1" x14ac:dyDescent="0.2">
      <c r="G1526" s="77"/>
      <c r="H1526" s="83"/>
    </row>
    <row r="1527" spans="7:8" hidden="1" x14ac:dyDescent="0.2">
      <c r="G1527" s="77"/>
      <c r="H1527" s="83"/>
    </row>
    <row r="1528" spans="7:8" hidden="1" x14ac:dyDescent="0.2">
      <c r="G1528" s="77"/>
      <c r="H1528" s="83"/>
    </row>
    <row r="1529" spans="7:8" hidden="1" x14ac:dyDescent="0.2">
      <c r="G1529" s="77"/>
      <c r="H1529" s="83"/>
    </row>
    <row r="1530" spans="7:8" hidden="1" x14ac:dyDescent="0.2">
      <c r="G1530" s="77"/>
      <c r="H1530" s="83"/>
    </row>
    <row r="1531" spans="7:8" hidden="1" x14ac:dyDescent="0.2">
      <c r="G1531" s="77"/>
      <c r="H1531" s="83"/>
    </row>
    <row r="1532" spans="7:8" hidden="1" x14ac:dyDescent="0.2">
      <c r="G1532" s="77"/>
      <c r="H1532" s="83"/>
    </row>
    <row r="1533" spans="7:8" hidden="1" x14ac:dyDescent="0.2">
      <c r="G1533" s="77"/>
      <c r="H1533" s="83"/>
    </row>
    <row r="1534" spans="7:8" hidden="1" x14ac:dyDescent="0.2">
      <c r="G1534" s="77"/>
      <c r="H1534" s="83"/>
    </row>
    <row r="1535" spans="7:8" hidden="1" x14ac:dyDescent="0.2">
      <c r="G1535" s="77"/>
      <c r="H1535" s="83"/>
    </row>
    <row r="1536" spans="7:8" hidden="1" x14ac:dyDescent="0.2">
      <c r="G1536" s="77"/>
      <c r="H1536" s="83"/>
    </row>
    <row r="1537" spans="7:8" hidden="1" x14ac:dyDescent="0.2">
      <c r="G1537" s="77"/>
      <c r="H1537" s="83"/>
    </row>
    <row r="1538" spans="7:8" hidden="1" x14ac:dyDescent="0.2">
      <c r="G1538" s="77"/>
      <c r="H1538" s="83"/>
    </row>
    <row r="1539" spans="7:8" hidden="1" x14ac:dyDescent="0.2">
      <c r="G1539" s="77"/>
      <c r="H1539" s="83"/>
    </row>
    <row r="1540" spans="7:8" hidden="1" x14ac:dyDescent="0.2">
      <c r="G1540" s="77"/>
      <c r="H1540" s="83"/>
    </row>
    <row r="1541" spans="7:8" hidden="1" x14ac:dyDescent="0.2">
      <c r="G1541" s="77"/>
      <c r="H1541" s="83"/>
    </row>
    <row r="1542" spans="7:8" hidden="1" x14ac:dyDescent="0.2">
      <c r="G1542" s="77"/>
      <c r="H1542" s="83"/>
    </row>
    <row r="1543" spans="7:8" hidden="1" x14ac:dyDescent="0.2">
      <c r="G1543" s="77"/>
      <c r="H1543" s="83"/>
    </row>
    <row r="1544" spans="7:8" hidden="1" x14ac:dyDescent="0.2">
      <c r="G1544" s="77"/>
      <c r="H1544" s="83"/>
    </row>
    <row r="1545" spans="7:8" hidden="1" x14ac:dyDescent="0.2">
      <c r="G1545" s="77"/>
      <c r="H1545" s="83"/>
    </row>
    <row r="1546" spans="7:8" hidden="1" x14ac:dyDescent="0.2">
      <c r="G1546" s="77"/>
      <c r="H1546" s="83"/>
    </row>
    <row r="1547" spans="7:8" hidden="1" x14ac:dyDescent="0.2">
      <c r="G1547" s="77"/>
      <c r="H1547" s="83"/>
    </row>
    <row r="1548" spans="7:8" hidden="1" x14ac:dyDescent="0.2">
      <c r="G1548" s="77"/>
      <c r="H1548" s="83"/>
    </row>
    <row r="1549" spans="7:8" hidden="1" x14ac:dyDescent="0.2">
      <c r="G1549" s="77"/>
      <c r="H1549" s="83"/>
    </row>
    <row r="1550" spans="7:8" hidden="1" x14ac:dyDescent="0.2">
      <c r="G1550" s="77"/>
      <c r="H1550" s="83"/>
    </row>
    <row r="1551" spans="7:8" hidden="1" x14ac:dyDescent="0.2">
      <c r="G1551" s="77"/>
      <c r="H1551" s="83"/>
    </row>
    <row r="1552" spans="7:8" hidden="1" x14ac:dyDescent="0.2">
      <c r="G1552" s="77"/>
      <c r="H1552" s="83"/>
    </row>
    <row r="1553" spans="7:8" hidden="1" x14ac:dyDescent="0.2">
      <c r="G1553" s="77"/>
      <c r="H1553" s="83"/>
    </row>
    <row r="1554" spans="7:8" hidden="1" x14ac:dyDescent="0.2">
      <c r="G1554" s="77"/>
      <c r="H1554" s="83"/>
    </row>
    <row r="1555" spans="7:8" hidden="1" x14ac:dyDescent="0.2">
      <c r="G1555" s="77"/>
      <c r="H1555" s="83"/>
    </row>
    <row r="1556" spans="7:8" hidden="1" x14ac:dyDescent="0.2">
      <c r="G1556" s="77"/>
      <c r="H1556" s="83"/>
    </row>
    <row r="1557" spans="7:8" hidden="1" x14ac:dyDescent="0.2">
      <c r="G1557" s="77"/>
      <c r="H1557" s="83"/>
    </row>
    <row r="1558" spans="7:8" hidden="1" x14ac:dyDescent="0.2">
      <c r="G1558" s="77"/>
      <c r="H1558" s="83"/>
    </row>
    <row r="1559" spans="7:8" hidden="1" x14ac:dyDescent="0.2">
      <c r="G1559" s="77"/>
      <c r="H1559" s="83"/>
    </row>
    <row r="1560" spans="7:8" hidden="1" x14ac:dyDescent="0.2">
      <c r="G1560" s="77"/>
      <c r="H1560" s="83"/>
    </row>
    <row r="1561" spans="7:8" hidden="1" x14ac:dyDescent="0.2">
      <c r="G1561" s="77"/>
      <c r="H1561" s="83"/>
    </row>
    <row r="1562" spans="7:8" hidden="1" x14ac:dyDescent="0.2">
      <c r="G1562" s="77"/>
      <c r="H1562" s="83"/>
    </row>
    <row r="1563" spans="7:8" hidden="1" x14ac:dyDescent="0.2">
      <c r="G1563" s="77"/>
      <c r="H1563" s="83"/>
    </row>
    <row r="1564" spans="7:8" hidden="1" x14ac:dyDescent="0.2">
      <c r="G1564" s="77"/>
      <c r="H1564" s="83"/>
    </row>
    <row r="1565" spans="7:8" hidden="1" x14ac:dyDescent="0.2">
      <c r="G1565" s="77"/>
      <c r="H1565" s="83"/>
    </row>
    <row r="1566" spans="7:8" hidden="1" x14ac:dyDescent="0.2">
      <c r="G1566" s="77"/>
      <c r="H1566" s="83"/>
    </row>
    <row r="1567" spans="7:8" hidden="1" x14ac:dyDescent="0.2">
      <c r="G1567" s="77"/>
      <c r="H1567" s="83"/>
    </row>
    <row r="1568" spans="7:8" hidden="1" x14ac:dyDescent="0.2">
      <c r="G1568" s="77"/>
      <c r="H1568" s="83"/>
    </row>
    <row r="1569" spans="7:8" hidden="1" x14ac:dyDescent="0.2">
      <c r="G1569" s="77"/>
      <c r="H1569" s="83"/>
    </row>
    <row r="1570" spans="7:8" hidden="1" x14ac:dyDescent="0.2">
      <c r="G1570" s="77"/>
      <c r="H1570" s="83"/>
    </row>
    <row r="1571" spans="7:8" hidden="1" x14ac:dyDescent="0.2">
      <c r="G1571" s="77"/>
      <c r="H1571" s="83"/>
    </row>
    <row r="1572" spans="7:8" hidden="1" x14ac:dyDescent="0.2">
      <c r="G1572" s="77"/>
      <c r="H1572" s="83"/>
    </row>
    <row r="1573" spans="7:8" hidden="1" x14ac:dyDescent="0.2">
      <c r="G1573" s="77"/>
      <c r="H1573" s="83"/>
    </row>
    <row r="1574" spans="7:8" hidden="1" x14ac:dyDescent="0.2">
      <c r="G1574" s="77"/>
      <c r="H1574" s="83"/>
    </row>
    <row r="1575" spans="7:8" hidden="1" x14ac:dyDescent="0.2">
      <c r="G1575" s="77"/>
      <c r="H1575" s="83"/>
    </row>
    <row r="1576" spans="7:8" hidden="1" x14ac:dyDescent="0.2">
      <c r="G1576" s="77"/>
      <c r="H1576" s="83"/>
    </row>
    <row r="1577" spans="7:8" hidden="1" x14ac:dyDescent="0.2">
      <c r="G1577" s="77"/>
      <c r="H1577" s="83"/>
    </row>
    <row r="1578" spans="7:8" hidden="1" x14ac:dyDescent="0.2">
      <c r="G1578" s="77"/>
      <c r="H1578" s="83"/>
    </row>
    <row r="1579" spans="7:8" hidden="1" x14ac:dyDescent="0.2">
      <c r="G1579" s="77"/>
      <c r="H1579" s="83"/>
    </row>
    <row r="1580" spans="7:8" hidden="1" x14ac:dyDescent="0.2">
      <c r="G1580" s="77"/>
      <c r="H1580" s="83"/>
    </row>
    <row r="1581" spans="7:8" hidden="1" x14ac:dyDescent="0.2">
      <c r="G1581" s="77"/>
      <c r="H1581" s="83"/>
    </row>
    <row r="1582" spans="7:8" hidden="1" x14ac:dyDescent="0.2">
      <c r="G1582" s="77"/>
      <c r="H1582" s="83"/>
    </row>
    <row r="1583" spans="7:8" hidden="1" x14ac:dyDescent="0.2">
      <c r="G1583" s="77"/>
      <c r="H1583" s="83"/>
    </row>
    <row r="1584" spans="7:8" hidden="1" x14ac:dyDescent="0.2">
      <c r="G1584" s="77"/>
      <c r="H1584" s="83"/>
    </row>
    <row r="1585" spans="7:8" hidden="1" x14ac:dyDescent="0.2">
      <c r="G1585" s="77"/>
      <c r="H1585" s="83"/>
    </row>
    <row r="1586" spans="7:8" hidden="1" x14ac:dyDescent="0.2">
      <c r="G1586" s="77"/>
      <c r="H1586" s="83"/>
    </row>
    <row r="1587" spans="7:8" hidden="1" x14ac:dyDescent="0.2">
      <c r="G1587" s="77"/>
      <c r="H1587" s="83"/>
    </row>
    <row r="1588" spans="7:8" hidden="1" x14ac:dyDescent="0.2">
      <c r="G1588" s="77"/>
      <c r="H1588" s="83"/>
    </row>
    <row r="1589" spans="7:8" hidden="1" x14ac:dyDescent="0.2">
      <c r="G1589" s="77"/>
      <c r="H1589" s="83"/>
    </row>
    <row r="1590" spans="7:8" hidden="1" x14ac:dyDescent="0.2">
      <c r="G1590" s="77"/>
      <c r="H1590" s="83"/>
    </row>
    <row r="1591" spans="7:8" hidden="1" x14ac:dyDescent="0.2">
      <c r="G1591" s="77"/>
      <c r="H1591" s="83"/>
    </row>
    <row r="1592" spans="7:8" hidden="1" x14ac:dyDescent="0.2">
      <c r="G1592" s="77"/>
      <c r="H1592" s="83"/>
    </row>
    <row r="1593" spans="7:8" hidden="1" x14ac:dyDescent="0.2">
      <c r="G1593" s="77"/>
      <c r="H1593" s="83"/>
    </row>
    <row r="1594" spans="7:8" hidden="1" x14ac:dyDescent="0.2">
      <c r="G1594" s="77"/>
      <c r="H1594" s="83"/>
    </row>
    <row r="1595" spans="7:8" hidden="1" x14ac:dyDescent="0.2">
      <c r="G1595" s="77"/>
      <c r="H1595" s="83"/>
    </row>
    <row r="1596" spans="7:8" hidden="1" x14ac:dyDescent="0.2">
      <c r="G1596" s="77"/>
      <c r="H1596" s="83"/>
    </row>
    <row r="1597" spans="7:8" hidden="1" x14ac:dyDescent="0.2">
      <c r="G1597" s="77"/>
      <c r="H1597" s="83"/>
    </row>
    <row r="1598" spans="7:8" hidden="1" x14ac:dyDescent="0.2">
      <c r="G1598" s="77"/>
      <c r="H1598" s="83"/>
    </row>
    <row r="1599" spans="7:8" hidden="1" x14ac:dyDescent="0.2">
      <c r="G1599" s="77"/>
      <c r="H1599" s="83"/>
    </row>
    <row r="1600" spans="7:8" hidden="1" x14ac:dyDescent="0.2">
      <c r="G1600" s="77"/>
      <c r="H1600" s="83"/>
    </row>
    <row r="1601" spans="7:8" hidden="1" x14ac:dyDescent="0.2">
      <c r="G1601" s="77"/>
      <c r="H1601" s="83"/>
    </row>
    <row r="1602" spans="7:8" hidden="1" x14ac:dyDescent="0.2">
      <c r="G1602" s="77"/>
      <c r="H1602" s="83"/>
    </row>
    <row r="1603" spans="7:8" hidden="1" x14ac:dyDescent="0.2">
      <c r="G1603" s="77"/>
      <c r="H1603" s="83"/>
    </row>
    <row r="1604" spans="7:8" hidden="1" x14ac:dyDescent="0.2">
      <c r="G1604" s="77"/>
      <c r="H1604" s="83"/>
    </row>
    <row r="1605" spans="7:8" hidden="1" x14ac:dyDescent="0.2">
      <c r="G1605" s="77"/>
      <c r="H1605" s="83"/>
    </row>
    <row r="1606" spans="7:8" hidden="1" x14ac:dyDescent="0.2">
      <c r="G1606" s="77"/>
      <c r="H1606" s="83"/>
    </row>
    <row r="1607" spans="7:8" hidden="1" x14ac:dyDescent="0.2">
      <c r="G1607" s="77"/>
      <c r="H1607" s="83"/>
    </row>
    <row r="1608" spans="7:8" hidden="1" x14ac:dyDescent="0.2">
      <c r="G1608" s="77"/>
      <c r="H1608" s="83"/>
    </row>
    <row r="1609" spans="7:8" hidden="1" x14ac:dyDescent="0.2">
      <c r="G1609" s="77"/>
      <c r="H1609" s="83"/>
    </row>
    <row r="1610" spans="7:8" hidden="1" x14ac:dyDescent="0.2">
      <c r="G1610" s="77"/>
      <c r="H1610" s="83"/>
    </row>
    <row r="1611" spans="7:8" hidden="1" x14ac:dyDescent="0.2">
      <c r="G1611" s="77"/>
      <c r="H1611" s="83"/>
    </row>
    <row r="1612" spans="7:8" hidden="1" x14ac:dyDescent="0.2">
      <c r="G1612" s="77"/>
      <c r="H1612" s="83"/>
    </row>
    <row r="1613" spans="7:8" hidden="1" x14ac:dyDescent="0.2">
      <c r="G1613" s="77"/>
      <c r="H1613" s="83"/>
    </row>
    <row r="1614" spans="7:8" hidden="1" x14ac:dyDescent="0.2">
      <c r="G1614" s="77"/>
      <c r="H1614" s="83"/>
    </row>
    <row r="1615" spans="7:8" hidden="1" x14ac:dyDescent="0.2">
      <c r="G1615" s="77"/>
      <c r="H1615" s="83"/>
    </row>
    <row r="1616" spans="7:8" hidden="1" x14ac:dyDescent="0.2">
      <c r="G1616" s="77"/>
      <c r="H1616" s="83"/>
    </row>
    <row r="1617" spans="7:8" hidden="1" x14ac:dyDescent="0.2">
      <c r="G1617" s="77"/>
      <c r="H1617" s="83"/>
    </row>
    <row r="1618" spans="7:8" hidden="1" x14ac:dyDescent="0.2">
      <c r="G1618" s="77"/>
      <c r="H1618" s="83"/>
    </row>
    <row r="1619" spans="7:8" hidden="1" x14ac:dyDescent="0.2">
      <c r="G1619" s="77"/>
      <c r="H1619" s="83"/>
    </row>
    <row r="1620" spans="7:8" hidden="1" x14ac:dyDescent="0.2">
      <c r="G1620" s="77"/>
      <c r="H1620" s="83"/>
    </row>
    <row r="1621" spans="7:8" hidden="1" x14ac:dyDescent="0.2">
      <c r="G1621" s="77"/>
      <c r="H1621" s="83"/>
    </row>
    <row r="1622" spans="7:8" hidden="1" x14ac:dyDescent="0.2">
      <c r="G1622" s="77"/>
      <c r="H1622" s="83"/>
    </row>
    <row r="1623" spans="7:8" hidden="1" x14ac:dyDescent="0.2">
      <c r="G1623" s="77"/>
      <c r="H1623" s="83"/>
    </row>
    <row r="1624" spans="7:8" hidden="1" x14ac:dyDescent="0.2">
      <c r="G1624" s="77"/>
      <c r="H1624" s="83"/>
    </row>
    <row r="1625" spans="7:8" hidden="1" x14ac:dyDescent="0.2">
      <c r="G1625" s="77"/>
      <c r="H1625" s="83"/>
    </row>
    <row r="1626" spans="7:8" hidden="1" x14ac:dyDescent="0.2">
      <c r="G1626" s="77"/>
      <c r="H1626" s="83"/>
    </row>
    <row r="1627" spans="7:8" hidden="1" x14ac:dyDescent="0.2">
      <c r="G1627" s="77"/>
      <c r="H1627" s="83"/>
    </row>
    <row r="1628" spans="7:8" hidden="1" x14ac:dyDescent="0.2">
      <c r="G1628" s="77"/>
      <c r="H1628" s="83"/>
    </row>
    <row r="1629" spans="7:8" hidden="1" x14ac:dyDescent="0.2">
      <c r="G1629" s="77"/>
      <c r="H1629" s="83"/>
    </row>
    <row r="1630" spans="7:8" hidden="1" x14ac:dyDescent="0.2">
      <c r="G1630" s="77"/>
      <c r="H1630" s="83"/>
    </row>
    <row r="1631" spans="7:8" hidden="1" x14ac:dyDescent="0.2">
      <c r="G1631" s="77"/>
      <c r="H1631" s="83"/>
    </row>
    <row r="1632" spans="7:8" hidden="1" x14ac:dyDescent="0.2">
      <c r="G1632" s="77"/>
      <c r="H1632" s="83"/>
    </row>
    <row r="1633" spans="7:8" hidden="1" x14ac:dyDescent="0.2">
      <c r="G1633" s="77"/>
      <c r="H1633" s="83"/>
    </row>
    <row r="1634" spans="7:8" hidden="1" x14ac:dyDescent="0.2">
      <c r="G1634" s="77"/>
      <c r="H1634" s="83"/>
    </row>
    <row r="1635" spans="7:8" hidden="1" x14ac:dyDescent="0.2">
      <c r="G1635" s="77"/>
      <c r="H1635" s="83"/>
    </row>
    <row r="1636" spans="7:8" hidden="1" x14ac:dyDescent="0.2">
      <c r="G1636" s="77"/>
      <c r="H1636" s="83"/>
    </row>
    <row r="1637" spans="7:8" hidden="1" x14ac:dyDescent="0.2">
      <c r="G1637" s="77"/>
      <c r="H1637" s="83"/>
    </row>
    <row r="1638" spans="7:8" hidden="1" x14ac:dyDescent="0.2">
      <c r="G1638" s="77"/>
      <c r="H1638" s="83"/>
    </row>
    <row r="1639" spans="7:8" hidden="1" x14ac:dyDescent="0.2">
      <c r="G1639" s="77"/>
      <c r="H1639" s="83"/>
    </row>
    <row r="1640" spans="7:8" hidden="1" x14ac:dyDescent="0.2">
      <c r="G1640" s="77"/>
      <c r="H1640" s="83"/>
    </row>
    <row r="1641" spans="7:8" hidden="1" x14ac:dyDescent="0.2">
      <c r="G1641" s="77"/>
      <c r="H1641" s="83"/>
    </row>
    <row r="1642" spans="7:8" hidden="1" x14ac:dyDescent="0.2">
      <c r="G1642" s="77"/>
      <c r="H1642" s="83"/>
    </row>
    <row r="1643" spans="7:8" hidden="1" x14ac:dyDescent="0.2">
      <c r="G1643" s="77"/>
      <c r="H1643" s="83"/>
    </row>
    <row r="1644" spans="7:8" hidden="1" x14ac:dyDescent="0.2">
      <c r="G1644" s="77"/>
      <c r="H1644" s="83"/>
    </row>
    <row r="1645" spans="7:8" hidden="1" x14ac:dyDescent="0.2">
      <c r="G1645" s="77"/>
      <c r="H1645" s="83"/>
    </row>
    <row r="1646" spans="7:8" hidden="1" x14ac:dyDescent="0.2">
      <c r="G1646" s="77"/>
      <c r="H1646" s="83"/>
    </row>
    <row r="1647" spans="7:8" hidden="1" x14ac:dyDescent="0.2">
      <c r="G1647" s="77"/>
      <c r="H1647" s="83"/>
    </row>
    <row r="1648" spans="7:8" hidden="1" x14ac:dyDescent="0.2">
      <c r="G1648" s="77"/>
      <c r="H1648" s="83"/>
    </row>
    <row r="1649" spans="7:8" hidden="1" x14ac:dyDescent="0.2">
      <c r="G1649" s="77"/>
      <c r="H1649" s="83"/>
    </row>
    <row r="1650" spans="7:8" hidden="1" x14ac:dyDescent="0.2">
      <c r="G1650" s="77"/>
      <c r="H1650" s="83"/>
    </row>
    <row r="1651" spans="7:8" hidden="1" x14ac:dyDescent="0.2">
      <c r="G1651" s="77"/>
      <c r="H1651" s="83"/>
    </row>
    <row r="1652" spans="7:8" hidden="1" x14ac:dyDescent="0.2">
      <c r="G1652" s="77"/>
      <c r="H1652" s="83"/>
    </row>
    <row r="1653" spans="7:8" hidden="1" x14ac:dyDescent="0.2">
      <c r="G1653" s="77"/>
      <c r="H1653" s="83"/>
    </row>
    <row r="1654" spans="7:8" hidden="1" x14ac:dyDescent="0.2">
      <c r="G1654" s="77"/>
      <c r="H1654" s="83"/>
    </row>
    <row r="1655" spans="7:8" hidden="1" x14ac:dyDescent="0.2">
      <c r="G1655" s="77"/>
      <c r="H1655" s="83"/>
    </row>
    <row r="1656" spans="7:8" hidden="1" x14ac:dyDescent="0.2">
      <c r="G1656" s="77"/>
      <c r="H1656" s="83"/>
    </row>
    <row r="1657" spans="7:8" hidden="1" x14ac:dyDescent="0.2">
      <c r="G1657" s="77"/>
      <c r="H1657" s="83"/>
    </row>
    <row r="1658" spans="7:8" hidden="1" x14ac:dyDescent="0.2">
      <c r="G1658" s="77"/>
      <c r="H1658" s="83"/>
    </row>
    <row r="1659" spans="7:8" hidden="1" x14ac:dyDescent="0.2">
      <c r="G1659" s="77"/>
      <c r="H1659" s="83"/>
    </row>
    <row r="1660" spans="7:8" hidden="1" x14ac:dyDescent="0.2">
      <c r="G1660" s="77"/>
      <c r="H1660" s="83"/>
    </row>
    <row r="1661" spans="7:8" hidden="1" x14ac:dyDescent="0.2">
      <c r="G1661" s="77"/>
      <c r="H1661" s="83"/>
    </row>
    <row r="1662" spans="7:8" hidden="1" x14ac:dyDescent="0.2">
      <c r="G1662" s="77"/>
      <c r="H1662" s="83"/>
    </row>
    <row r="1663" spans="7:8" hidden="1" x14ac:dyDescent="0.2">
      <c r="G1663" s="77"/>
      <c r="H1663" s="83"/>
    </row>
    <row r="1664" spans="7:8" hidden="1" x14ac:dyDescent="0.2">
      <c r="G1664" s="77"/>
      <c r="H1664" s="83"/>
    </row>
    <row r="1665" spans="7:8" hidden="1" x14ac:dyDescent="0.2">
      <c r="G1665" s="77"/>
      <c r="H1665" s="83"/>
    </row>
    <row r="1666" spans="7:8" hidden="1" x14ac:dyDescent="0.2">
      <c r="G1666" s="77"/>
      <c r="H1666" s="83"/>
    </row>
    <row r="1667" spans="7:8" hidden="1" x14ac:dyDescent="0.2">
      <c r="G1667" s="77"/>
      <c r="H1667" s="83"/>
    </row>
    <row r="1668" spans="7:8" hidden="1" x14ac:dyDescent="0.2">
      <c r="G1668" s="77"/>
      <c r="H1668" s="83"/>
    </row>
    <row r="1669" spans="7:8" hidden="1" x14ac:dyDescent="0.2">
      <c r="G1669" s="77"/>
      <c r="H1669" s="83"/>
    </row>
    <row r="1670" spans="7:8" hidden="1" x14ac:dyDescent="0.2">
      <c r="G1670" s="77"/>
      <c r="H1670" s="83"/>
    </row>
    <row r="1671" spans="7:8" hidden="1" x14ac:dyDescent="0.2">
      <c r="G1671" s="77"/>
      <c r="H1671" s="83"/>
    </row>
    <row r="1672" spans="7:8" hidden="1" x14ac:dyDescent="0.2">
      <c r="G1672" s="77"/>
      <c r="H1672" s="83"/>
    </row>
    <row r="1673" spans="7:8" hidden="1" x14ac:dyDescent="0.2">
      <c r="G1673" s="77"/>
      <c r="H1673" s="83"/>
    </row>
    <row r="1674" spans="7:8" hidden="1" x14ac:dyDescent="0.2">
      <c r="G1674" s="77"/>
      <c r="H1674" s="83"/>
    </row>
    <row r="1675" spans="7:8" hidden="1" x14ac:dyDescent="0.2">
      <c r="G1675" s="77"/>
      <c r="H1675" s="83"/>
    </row>
    <row r="1676" spans="7:8" hidden="1" x14ac:dyDescent="0.2">
      <c r="G1676" s="77"/>
      <c r="H1676" s="83"/>
    </row>
    <row r="1677" spans="7:8" hidden="1" x14ac:dyDescent="0.2">
      <c r="G1677" s="77"/>
      <c r="H1677" s="83"/>
    </row>
    <row r="1678" spans="7:8" hidden="1" x14ac:dyDescent="0.2">
      <c r="G1678" s="77"/>
      <c r="H1678" s="83"/>
    </row>
    <row r="1679" spans="7:8" hidden="1" x14ac:dyDescent="0.2">
      <c r="G1679" s="77"/>
      <c r="H1679" s="83"/>
    </row>
    <row r="1680" spans="7:8" hidden="1" x14ac:dyDescent="0.2">
      <c r="G1680" s="77"/>
      <c r="H1680" s="83"/>
    </row>
    <row r="1681" spans="7:8" hidden="1" x14ac:dyDescent="0.2">
      <c r="G1681" s="77"/>
      <c r="H1681" s="83"/>
    </row>
    <row r="1682" spans="7:8" hidden="1" x14ac:dyDescent="0.2">
      <c r="G1682" s="77"/>
      <c r="H1682" s="83"/>
    </row>
    <row r="1683" spans="7:8" hidden="1" x14ac:dyDescent="0.2">
      <c r="G1683" s="77"/>
      <c r="H1683" s="83"/>
    </row>
    <row r="1684" spans="7:8" hidden="1" x14ac:dyDescent="0.2">
      <c r="G1684" s="77"/>
      <c r="H1684" s="83"/>
    </row>
    <row r="1685" spans="7:8" hidden="1" x14ac:dyDescent="0.2">
      <c r="G1685" s="77"/>
      <c r="H1685" s="83"/>
    </row>
    <row r="1686" spans="7:8" hidden="1" x14ac:dyDescent="0.2">
      <c r="G1686" s="77"/>
      <c r="H1686" s="83"/>
    </row>
    <row r="1687" spans="7:8" hidden="1" x14ac:dyDescent="0.2">
      <c r="G1687" s="77"/>
      <c r="H1687" s="83"/>
    </row>
    <row r="1688" spans="7:8" hidden="1" x14ac:dyDescent="0.2">
      <c r="G1688" s="77"/>
      <c r="H1688" s="83"/>
    </row>
    <row r="1689" spans="7:8" hidden="1" x14ac:dyDescent="0.2">
      <c r="G1689" s="77"/>
      <c r="H1689" s="83"/>
    </row>
    <row r="1690" spans="7:8" hidden="1" x14ac:dyDescent="0.2">
      <c r="G1690" s="77"/>
      <c r="H1690" s="83"/>
    </row>
    <row r="1691" spans="7:8" hidden="1" x14ac:dyDescent="0.2">
      <c r="G1691" s="77"/>
      <c r="H1691" s="83"/>
    </row>
    <row r="1692" spans="7:8" hidden="1" x14ac:dyDescent="0.2">
      <c r="G1692" s="77"/>
      <c r="H1692" s="83"/>
    </row>
    <row r="1693" spans="7:8" hidden="1" x14ac:dyDescent="0.2">
      <c r="G1693" s="77"/>
      <c r="H1693" s="83"/>
    </row>
    <row r="1694" spans="7:8" hidden="1" x14ac:dyDescent="0.2">
      <c r="G1694" s="77"/>
      <c r="H1694" s="83"/>
    </row>
    <row r="1695" spans="7:8" hidden="1" x14ac:dyDescent="0.2">
      <c r="G1695" s="77"/>
      <c r="H1695" s="83"/>
    </row>
    <row r="1696" spans="7:8" hidden="1" x14ac:dyDescent="0.2">
      <c r="G1696" s="77"/>
      <c r="H1696" s="83"/>
    </row>
    <row r="1697" spans="7:8" hidden="1" x14ac:dyDescent="0.2">
      <c r="G1697" s="77"/>
      <c r="H1697" s="83"/>
    </row>
    <row r="1698" spans="7:8" hidden="1" x14ac:dyDescent="0.2">
      <c r="G1698" s="77"/>
      <c r="H1698" s="83"/>
    </row>
    <row r="1699" spans="7:8" hidden="1" x14ac:dyDescent="0.2">
      <c r="G1699" s="77"/>
      <c r="H1699" s="83"/>
    </row>
    <row r="1700" spans="7:8" hidden="1" x14ac:dyDescent="0.2">
      <c r="G1700" s="77"/>
      <c r="H1700" s="83"/>
    </row>
    <row r="1701" spans="7:8" hidden="1" x14ac:dyDescent="0.2">
      <c r="G1701" s="77"/>
      <c r="H1701" s="83"/>
    </row>
    <row r="1702" spans="7:8" hidden="1" x14ac:dyDescent="0.2">
      <c r="G1702" s="77"/>
      <c r="H1702" s="83"/>
    </row>
    <row r="1703" spans="7:8" hidden="1" x14ac:dyDescent="0.2">
      <c r="G1703" s="77"/>
      <c r="H1703" s="83"/>
    </row>
    <row r="1704" spans="7:8" hidden="1" x14ac:dyDescent="0.2">
      <c r="G1704" s="77"/>
      <c r="H1704" s="83"/>
    </row>
    <row r="1705" spans="7:8" hidden="1" x14ac:dyDescent="0.2">
      <c r="G1705" s="77"/>
      <c r="H1705" s="83"/>
    </row>
    <row r="1706" spans="7:8" hidden="1" x14ac:dyDescent="0.2">
      <c r="G1706" s="77"/>
      <c r="H1706" s="83"/>
    </row>
    <row r="1707" spans="7:8" hidden="1" x14ac:dyDescent="0.2">
      <c r="G1707" s="77"/>
      <c r="H1707" s="83"/>
    </row>
    <row r="1708" spans="7:8" hidden="1" x14ac:dyDescent="0.2">
      <c r="G1708" s="77"/>
      <c r="H1708" s="83"/>
    </row>
    <row r="1709" spans="7:8" hidden="1" x14ac:dyDescent="0.2">
      <c r="G1709" s="77"/>
      <c r="H1709" s="83"/>
    </row>
    <row r="1710" spans="7:8" hidden="1" x14ac:dyDescent="0.2">
      <c r="G1710" s="77"/>
      <c r="H1710" s="83"/>
    </row>
    <row r="1711" spans="7:8" hidden="1" x14ac:dyDescent="0.2">
      <c r="G1711" s="77"/>
      <c r="H1711" s="83"/>
    </row>
    <row r="1712" spans="7:8" hidden="1" x14ac:dyDescent="0.2">
      <c r="G1712" s="77"/>
      <c r="H1712" s="83"/>
    </row>
    <row r="1713" spans="7:8" hidden="1" x14ac:dyDescent="0.2">
      <c r="G1713" s="77"/>
      <c r="H1713" s="83"/>
    </row>
    <row r="1714" spans="7:8" hidden="1" x14ac:dyDescent="0.2">
      <c r="G1714" s="77"/>
      <c r="H1714" s="83"/>
    </row>
    <row r="1715" spans="7:8" hidden="1" x14ac:dyDescent="0.2">
      <c r="G1715" s="77"/>
      <c r="H1715" s="83"/>
    </row>
    <row r="1716" spans="7:8" hidden="1" x14ac:dyDescent="0.2">
      <c r="G1716" s="77"/>
      <c r="H1716" s="83"/>
    </row>
    <row r="1717" spans="7:8" hidden="1" x14ac:dyDescent="0.2">
      <c r="G1717" s="77"/>
      <c r="H1717" s="83"/>
    </row>
    <row r="1718" spans="7:8" hidden="1" x14ac:dyDescent="0.2">
      <c r="G1718" s="77"/>
      <c r="H1718" s="83"/>
    </row>
    <row r="1719" spans="7:8" hidden="1" x14ac:dyDescent="0.2">
      <c r="G1719" s="77"/>
      <c r="H1719" s="83"/>
    </row>
    <row r="1720" spans="7:8" hidden="1" x14ac:dyDescent="0.2">
      <c r="G1720" s="77"/>
      <c r="H1720" s="83"/>
    </row>
    <row r="1721" spans="7:8" hidden="1" x14ac:dyDescent="0.2">
      <c r="G1721" s="77"/>
      <c r="H1721" s="83"/>
    </row>
    <row r="1722" spans="7:8" hidden="1" x14ac:dyDescent="0.2">
      <c r="G1722" s="77"/>
      <c r="H1722" s="83"/>
    </row>
    <row r="1723" spans="7:8" hidden="1" x14ac:dyDescent="0.2">
      <c r="G1723" s="77"/>
      <c r="H1723" s="83"/>
    </row>
    <row r="1724" spans="7:8" hidden="1" x14ac:dyDescent="0.2">
      <c r="G1724" s="77"/>
      <c r="H1724" s="83"/>
    </row>
    <row r="1725" spans="7:8" hidden="1" x14ac:dyDescent="0.2">
      <c r="G1725" s="77"/>
      <c r="H1725" s="83"/>
    </row>
    <row r="1726" spans="7:8" hidden="1" x14ac:dyDescent="0.2">
      <c r="G1726" s="77"/>
      <c r="H1726" s="83"/>
    </row>
    <row r="1727" spans="7:8" hidden="1" x14ac:dyDescent="0.2">
      <c r="G1727" s="77"/>
      <c r="H1727" s="83"/>
    </row>
    <row r="1728" spans="7:8" hidden="1" x14ac:dyDescent="0.2">
      <c r="G1728" s="77"/>
      <c r="H1728" s="83"/>
    </row>
    <row r="1729" spans="7:8" hidden="1" x14ac:dyDescent="0.2">
      <c r="G1729" s="77"/>
      <c r="H1729" s="83"/>
    </row>
    <row r="1730" spans="7:8" hidden="1" x14ac:dyDescent="0.2">
      <c r="G1730" s="77"/>
      <c r="H1730" s="83"/>
    </row>
    <row r="1731" spans="7:8" hidden="1" x14ac:dyDescent="0.2">
      <c r="G1731" s="77"/>
      <c r="H1731" s="83"/>
    </row>
    <row r="1732" spans="7:8" hidden="1" x14ac:dyDescent="0.2">
      <c r="G1732" s="77"/>
      <c r="H1732" s="83"/>
    </row>
    <row r="1733" spans="7:8" hidden="1" x14ac:dyDescent="0.2">
      <c r="G1733" s="77"/>
      <c r="H1733" s="83"/>
    </row>
    <row r="1734" spans="7:8" hidden="1" x14ac:dyDescent="0.2">
      <c r="G1734" s="77"/>
      <c r="H1734" s="83"/>
    </row>
    <row r="1735" spans="7:8" hidden="1" x14ac:dyDescent="0.2">
      <c r="G1735" s="77"/>
      <c r="H1735" s="83"/>
    </row>
    <row r="1736" spans="7:8" hidden="1" x14ac:dyDescent="0.2">
      <c r="G1736" s="77"/>
      <c r="H1736" s="83"/>
    </row>
    <row r="1737" spans="7:8" hidden="1" x14ac:dyDescent="0.2">
      <c r="G1737" s="77"/>
      <c r="H1737" s="83"/>
    </row>
    <row r="1738" spans="7:8" hidden="1" x14ac:dyDescent="0.2">
      <c r="G1738" s="77"/>
      <c r="H1738" s="83"/>
    </row>
    <row r="1739" spans="7:8" hidden="1" x14ac:dyDescent="0.2">
      <c r="G1739" s="77"/>
      <c r="H1739" s="83"/>
    </row>
    <row r="1740" spans="7:8" hidden="1" x14ac:dyDescent="0.2">
      <c r="G1740" s="77"/>
      <c r="H1740" s="83"/>
    </row>
    <row r="1741" spans="7:8" hidden="1" x14ac:dyDescent="0.2">
      <c r="G1741" s="77"/>
      <c r="H1741" s="83"/>
    </row>
    <row r="1742" spans="7:8" hidden="1" x14ac:dyDescent="0.2">
      <c r="G1742" s="77"/>
      <c r="H1742" s="83"/>
    </row>
    <row r="1743" spans="7:8" hidden="1" x14ac:dyDescent="0.2">
      <c r="G1743" s="77"/>
      <c r="H1743" s="83"/>
    </row>
    <row r="1744" spans="7:8" hidden="1" x14ac:dyDescent="0.2">
      <c r="G1744" s="77"/>
      <c r="H1744" s="83"/>
    </row>
    <row r="1745" spans="7:8" hidden="1" x14ac:dyDescent="0.2">
      <c r="G1745" s="77"/>
      <c r="H1745" s="83"/>
    </row>
    <row r="1746" spans="7:8" hidden="1" x14ac:dyDescent="0.2">
      <c r="G1746" s="77"/>
      <c r="H1746" s="83"/>
    </row>
    <row r="1747" spans="7:8" hidden="1" x14ac:dyDescent="0.2">
      <c r="G1747" s="77"/>
      <c r="H1747" s="83"/>
    </row>
    <row r="1748" spans="7:8" hidden="1" x14ac:dyDescent="0.2">
      <c r="G1748" s="77"/>
      <c r="H1748" s="83"/>
    </row>
    <row r="1749" spans="7:8" hidden="1" x14ac:dyDescent="0.2">
      <c r="G1749" s="77"/>
      <c r="H1749" s="83"/>
    </row>
    <row r="1750" spans="7:8" hidden="1" x14ac:dyDescent="0.2">
      <c r="G1750" s="77"/>
      <c r="H1750" s="83"/>
    </row>
    <row r="1751" spans="7:8" hidden="1" x14ac:dyDescent="0.2">
      <c r="G1751" s="77"/>
      <c r="H1751" s="83"/>
    </row>
    <row r="1752" spans="7:8" hidden="1" x14ac:dyDescent="0.2">
      <c r="G1752" s="77"/>
      <c r="H1752" s="83"/>
    </row>
    <row r="1753" spans="7:8" hidden="1" x14ac:dyDescent="0.2">
      <c r="G1753" s="77"/>
      <c r="H1753" s="83"/>
    </row>
    <row r="1754" spans="7:8" hidden="1" x14ac:dyDescent="0.2">
      <c r="G1754" s="77"/>
      <c r="H1754" s="83"/>
    </row>
    <row r="1755" spans="7:8" hidden="1" x14ac:dyDescent="0.2">
      <c r="G1755" s="77"/>
      <c r="H1755" s="83"/>
    </row>
    <row r="1756" spans="7:8" hidden="1" x14ac:dyDescent="0.2">
      <c r="G1756" s="77"/>
      <c r="H1756" s="83"/>
    </row>
    <row r="1757" spans="7:8" hidden="1" x14ac:dyDescent="0.2">
      <c r="G1757" s="77"/>
      <c r="H1757" s="83"/>
    </row>
    <row r="1758" spans="7:8" hidden="1" x14ac:dyDescent="0.2">
      <c r="G1758" s="77"/>
      <c r="H1758" s="83"/>
    </row>
    <row r="1759" spans="7:8" hidden="1" x14ac:dyDescent="0.2">
      <c r="G1759" s="77"/>
      <c r="H1759" s="83"/>
    </row>
    <row r="1760" spans="7:8" hidden="1" x14ac:dyDescent="0.2">
      <c r="G1760" s="77"/>
      <c r="H1760" s="83"/>
    </row>
    <row r="1761" spans="7:8" hidden="1" x14ac:dyDescent="0.2">
      <c r="G1761" s="77"/>
      <c r="H1761" s="83"/>
    </row>
    <row r="1762" spans="7:8" hidden="1" x14ac:dyDescent="0.2">
      <c r="G1762" s="77"/>
      <c r="H1762" s="83"/>
    </row>
    <row r="1763" spans="7:8" hidden="1" x14ac:dyDescent="0.2">
      <c r="G1763" s="77"/>
      <c r="H1763" s="83"/>
    </row>
    <row r="1764" spans="7:8" hidden="1" x14ac:dyDescent="0.2">
      <c r="G1764" s="77"/>
      <c r="H1764" s="83"/>
    </row>
    <row r="1765" spans="7:8" hidden="1" x14ac:dyDescent="0.2">
      <c r="G1765" s="77"/>
      <c r="H1765" s="83"/>
    </row>
    <row r="1766" spans="7:8" hidden="1" x14ac:dyDescent="0.2">
      <c r="G1766" s="77"/>
      <c r="H1766" s="83"/>
    </row>
    <row r="1767" spans="7:8" hidden="1" x14ac:dyDescent="0.2">
      <c r="G1767" s="77"/>
      <c r="H1767" s="83"/>
    </row>
  </sheetData>
  <mergeCells count="1">
    <mergeCell ref="A7:C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29A7-F3B0-4A63-A6A0-EE89474FFA9C}">
  <dimension ref="A1:F38"/>
  <sheetViews>
    <sheetView zoomScale="115" zoomScaleNormal="115" workbookViewId="0"/>
  </sheetViews>
  <sheetFormatPr baseColWidth="10" defaultColWidth="0" defaultRowHeight="15" zeroHeight="1" x14ac:dyDescent="0.2"/>
  <cols>
    <col min="1" max="1" width="39.33203125" customWidth="1"/>
    <col min="2" max="2" width="11" bestFit="1" customWidth="1"/>
    <col min="3" max="3" width="10.33203125" bestFit="1" customWidth="1"/>
    <col min="4" max="4" width="59.5" customWidth="1"/>
    <col min="5" max="5" width="12.33203125" customWidth="1"/>
    <col min="6" max="6" width="8.83203125" customWidth="1"/>
    <col min="7" max="16384" width="8.83203125" hidden="1"/>
  </cols>
  <sheetData>
    <row r="1" spans="1:5" ht="32" x14ac:dyDescent="0.2">
      <c r="A1" s="88" t="s">
        <v>197</v>
      </c>
      <c r="B1" s="88" t="s">
        <v>198</v>
      </c>
      <c r="C1" s="88" t="s">
        <v>77</v>
      </c>
      <c r="D1" s="89"/>
      <c r="E1" s="89" t="s">
        <v>199</v>
      </c>
    </row>
    <row r="2" spans="1:5" ht="16" x14ac:dyDescent="0.2">
      <c r="A2" t="s">
        <v>200</v>
      </c>
      <c r="B2" s="54">
        <v>10000</v>
      </c>
      <c r="C2" s="54">
        <v>11500</v>
      </c>
      <c r="D2" s="28" t="s">
        <v>201</v>
      </c>
      <c r="E2" s="90"/>
    </row>
    <row r="3" spans="1:5" ht="16" x14ac:dyDescent="0.2">
      <c r="A3" t="s">
        <v>202</v>
      </c>
      <c r="B3" s="54">
        <v>8300</v>
      </c>
      <c r="C3" s="54">
        <v>5200</v>
      </c>
      <c r="D3" s="91" t="s">
        <v>203</v>
      </c>
      <c r="E3" s="92"/>
    </row>
    <row r="4" spans="1:5" ht="16" x14ac:dyDescent="0.2">
      <c r="A4" t="s">
        <v>204</v>
      </c>
      <c r="B4" s="54">
        <v>2000</v>
      </c>
      <c r="C4" s="54">
        <v>2600</v>
      </c>
      <c r="D4" s="91" t="s">
        <v>205</v>
      </c>
      <c r="E4" s="92"/>
    </row>
    <row r="5" spans="1:5" ht="16" x14ac:dyDescent="0.2">
      <c r="A5" t="s">
        <v>206</v>
      </c>
      <c r="B5" s="93">
        <v>5460</v>
      </c>
      <c r="C5" s="93">
        <v>2000</v>
      </c>
      <c r="D5" s="94" t="s">
        <v>207</v>
      </c>
      <c r="E5" s="92"/>
    </row>
    <row r="6" spans="1:5" ht="16" x14ac:dyDescent="0.2">
      <c r="A6" t="s">
        <v>208</v>
      </c>
      <c r="B6" s="54">
        <v>20000</v>
      </c>
      <c r="C6" s="54">
        <v>11700</v>
      </c>
      <c r="D6" s="28" t="s">
        <v>209</v>
      </c>
      <c r="E6" s="90"/>
    </row>
    <row r="7" spans="1:5" ht="16" x14ac:dyDescent="0.2">
      <c r="A7" t="s">
        <v>210</v>
      </c>
      <c r="B7" s="54">
        <v>17000</v>
      </c>
      <c r="C7" s="54">
        <v>32000</v>
      </c>
      <c r="D7" s="91" t="s">
        <v>211</v>
      </c>
      <c r="E7" s="90"/>
    </row>
    <row r="8" spans="1:5" ht="16" x14ac:dyDescent="0.2">
      <c r="A8" t="s">
        <v>212</v>
      </c>
      <c r="B8" s="54">
        <v>21000</v>
      </c>
      <c r="C8" s="54">
        <v>13700</v>
      </c>
      <c r="D8" s="91" t="s">
        <v>213</v>
      </c>
      <c r="E8" s="92"/>
    </row>
    <row r="9" spans="1:5" ht="16" x14ac:dyDescent="0.2">
      <c r="A9" t="s">
        <v>214</v>
      </c>
      <c r="B9" s="54">
        <v>5500</v>
      </c>
      <c r="C9" s="54">
        <v>1300</v>
      </c>
      <c r="D9" s="91" t="s">
        <v>215</v>
      </c>
      <c r="E9" s="92"/>
    </row>
    <row r="10" spans="1:5" ht="16" x14ac:dyDescent="0.2">
      <c r="A10" t="s">
        <v>216</v>
      </c>
      <c r="B10" s="54">
        <v>7000</v>
      </c>
      <c r="C10" s="54">
        <v>5800</v>
      </c>
      <c r="D10" s="91" t="s">
        <v>217</v>
      </c>
      <c r="E10" s="92"/>
    </row>
    <row r="11" spans="1:5" ht="16" x14ac:dyDescent="0.2">
      <c r="A11" s="95" t="s">
        <v>218</v>
      </c>
      <c r="B11" s="96">
        <v>4500</v>
      </c>
      <c r="C11" s="96">
        <v>5200</v>
      </c>
      <c r="D11" s="97" t="s">
        <v>219</v>
      </c>
      <c r="E11" s="98"/>
    </row>
    <row r="12" spans="1:5" ht="16" x14ac:dyDescent="0.2">
      <c r="A12" t="s">
        <v>220</v>
      </c>
      <c r="B12" s="54">
        <v>30000</v>
      </c>
      <c r="C12" s="54">
        <v>11900</v>
      </c>
      <c r="D12" s="99" t="s">
        <v>221</v>
      </c>
      <c r="E12" s="90"/>
    </row>
    <row r="13" spans="1:5" ht="16" x14ac:dyDescent="0.2">
      <c r="A13" t="s">
        <v>222</v>
      </c>
      <c r="B13" s="93">
        <v>13500</v>
      </c>
      <c r="C13" s="93">
        <v>15400</v>
      </c>
      <c r="D13" s="99" t="s">
        <v>223</v>
      </c>
      <c r="E13" s="90"/>
    </row>
    <row r="14" spans="1:5" ht="16" x14ac:dyDescent="0.2">
      <c r="A14" t="s">
        <v>224</v>
      </c>
      <c r="B14" s="54">
        <v>5900</v>
      </c>
      <c r="C14" s="54">
        <v>3000</v>
      </c>
      <c r="D14" s="91" t="s">
        <v>225</v>
      </c>
      <c r="E14" s="90"/>
    </row>
    <row r="15" spans="1:5" ht="16" x14ac:dyDescent="0.2">
      <c r="A15" t="s">
        <v>226</v>
      </c>
      <c r="B15" s="54">
        <v>7000</v>
      </c>
      <c r="C15" s="54">
        <v>2600</v>
      </c>
      <c r="D15" s="91" t="s">
        <v>225</v>
      </c>
      <c r="E15" s="92"/>
    </row>
    <row r="16" spans="1:5" ht="16" x14ac:dyDescent="0.2">
      <c r="A16" t="s">
        <v>227</v>
      </c>
      <c r="B16" s="54">
        <v>25000</v>
      </c>
      <c r="C16" s="54">
        <v>16000</v>
      </c>
      <c r="D16" s="99" t="s">
        <v>228</v>
      </c>
      <c r="E16" s="90"/>
    </row>
    <row r="17" spans="1:5" ht="16" x14ac:dyDescent="0.2">
      <c r="A17" t="s">
        <v>229</v>
      </c>
      <c r="B17" s="54">
        <v>6800</v>
      </c>
      <c r="C17" s="54">
        <v>12000</v>
      </c>
      <c r="D17" s="91" t="s">
        <v>230</v>
      </c>
      <c r="E17" s="92"/>
    </row>
    <row r="18" spans="1:5" ht="16" x14ac:dyDescent="0.2">
      <c r="A18" t="s">
        <v>231</v>
      </c>
      <c r="B18" s="54">
        <v>4100</v>
      </c>
      <c r="C18" s="54">
        <v>2500</v>
      </c>
      <c r="D18" s="91" t="s">
        <v>225</v>
      </c>
      <c r="E18" s="90"/>
    </row>
    <row r="19" spans="1:5" ht="16" x14ac:dyDescent="0.2">
      <c r="A19" t="s">
        <v>232</v>
      </c>
      <c r="B19" s="54">
        <v>9000</v>
      </c>
      <c r="C19" s="54">
        <v>11600</v>
      </c>
      <c r="D19" s="100" t="s">
        <v>225</v>
      </c>
      <c r="E19" s="90"/>
    </row>
    <row r="20" spans="1:5" ht="16" x14ac:dyDescent="0.2">
      <c r="A20" t="s">
        <v>233</v>
      </c>
      <c r="B20" s="54">
        <v>24000</v>
      </c>
      <c r="C20" s="54">
        <v>12500</v>
      </c>
      <c r="D20" s="28" t="s">
        <v>225</v>
      </c>
      <c r="E20" s="90"/>
    </row>
    <row r="21" spans="1:5" ht="16" x14ac:dyDescent="0.2">
      <c r="A21" t="s">
        <v>234</v>
      </c>
      <c r="B21" s="101">
        <v>580</v>
      </c>
      <c r="C21" s="102"/>
      <c r="D21" s="28" t="s">
        <v>235</v>
      </c>
      <c r="E21" s="92"/>
    </row>
    <row r="22" spans="1:5" ht="16" x14ac:dyDescent="0.2">
      <c r="A22" t="s">
        <v>236</v>
      </c>
      <c r="B22" s="93">
        <v>4500</v>
      </c>
      <c r="C22" s="93">
        <v>1800</v>
      </c>
      <c r="D22" s="28" t="s">
        <v>237</v>
      </c>
      <c r="E22" s="90"/>
    </row>
    <row r="23" spans="1:5" ht="16" x14ac:dyDescent="0.2">
      <c r="A23" t="s">
        <v>238</v>
      </c>
      <c r="B23" s="93">
        <v>4500</v>
      </c>
      <c r="C23" s="93">
        <v>1200</v>
      </c>
      <c r="D23" s="28" t="s">
        <v>235</v>
      </c>
      <c r="E23" s="92"/>
    </row>
    <row r="24" spans="1:5" ht="16" x14ac:dyDescent="0.2">
      <c r="A24" t="s">
        <v>239</v>
      </c>
      <c r="B24" s="54">
        <v>7000</v>
      </c>
      <c r="C24" s="54">
        <v>3600</v>
      </c>
      <c r="D24" s="28" t="s">
        <v>225</v>
      </c>
      <c r="E24" s="90"/>
    </row>
    <row r="25" spans="1:5" ht="16" x14ac:dyDescent="0.2">
      <c r="A25" t="s">
        <v>240</v>
      </c>
      <c r="B25" s="54">
        <v>8000</v>
      </c>
      <c r="C25" s="54">
        <v>3500</v>
      </c>
      <c r="D25" s="28" t="s">
        <v>225</v>
      </c>
      <c r="E25" s="90"/>
    </row>
    <row r="26" spans="1:5" x14ac:dyDescent="0.2">
      <c r="D26" s="28"/>
    </row>
    <row r="27" spans="1:5" x14ac:dyDescent="0.2">
      <c r="A27" t="s">
        <v>241</v>
      </c>
      <c r="B27" s="54">
        <f>SUM(B2:B4)</f>
        <v>20300</v>
      </c>
      <c r="D27" s="28"/>
    </row>
    <row r="28" spans="1:5" x14ac:dyDescent="0.2">
      <c r="A28" t="s">
        <v>242</v>
      </c>
      <c r="B28" s="54">
        <f>SUM(B6:B12,B16:B17)</f>
        <v>136800</v>
      </c>
      <c r="D28" s="99">
        <f>B28+B27</f>
        <v>157100</v>
      </c>
    </row>
    <row r="29" spans="1:5" x14ac:dyDescent="0.2">
      <c r="A29" t="s">
        <v>243</v>
      </c>
      <c r="B29" s="54">
        <f>SUM(B14:B15,B18:B20,B24:B25)</f>
        <v>65000</v>
      </c>
      <c r="D29" s="28"/>
    </row>
    <row r="30" spans="1:5" x14ac:dyDescent="0.2">
      <c r="D30" s="28"/>
    </row>
    <row r="31" spans="1:5" ht="16" x14ac:dyDescent="0.2">
      <c r="A31" t="s">
        <v>224</v>
      </c>
      <c r="B31" s="54">
        <v>5900</v>
      </c>
      <c r="C31" s="54">
        <v>3000</v>
      </c>
      <c r="D31" s="91" t="s">
        <v>225</v>
      </c>
      <c r="E31" s="103" t="s">
        <v>244</v>
      </c>
    </row>
    <row r="32" spans="1:5" ht="16" x14ac:dyDescent="0.2">
      <c r="A32" t="s">
        <v>226</v>
      </c>
      <c r="B32" s="54">
        <v>7000</v>
      </c>
      <c r="C32" s="54">
        <v>2600</v>
      </c>
      <c r="D32" s="91" t="s">
        <v>225</v>
      </c>
      <c r="E32" s="103" t="s">
        <v>245</v>
      </c>
    </row>
    <row r="33" spans="1:5" ht="16" x14ac:dyDescent="0.2">
      <c r="A33" t="s">
        <v>231</v>
      </c>
      <c r="B33" s="54">
        <v>4100</v>
      </c>
      <c r="C33" s="54">
        <v>2500</v>
      </c>
      <c r="D33" s="91" t="s">
        <v>225</v>
      </c>
      <c r="E33" s="103" t="s">
        <v>246</v>
      </c>
    </row>
    <row r="34" spans="1:5" ht="16" x14ac:dyDescent="0.2">
      <c r="A34" t="s">
        <v>232</v>
      </c>
      <c r="B34" s="54">
        <v>9000</v>
      </c>
      <c r="C34" s="54">
        <v>11600</v>
      </c>
      <c r="D34" s="100" t="s">
        <v>225</v>
      </c>
      <c r="E34" s="103" t="s">
        <v>247</v>
      </c>
    </row>
    <row r="35" spans="1:5" ht="16" x14ac:dyDescent="0.2">
      <c r="A35" t="s">
        <v>233</v>
      </c>
      <c r="B35" s="54">
        <v>24000</v>
      </c>
      <c r="C35" s="54">
        <v>12500</v>
      </c>
      <c r="D35" s="28" t="s">
        <v>225</v>
      </c>
      <c r="E35" s="104" t="s">
        <v>248</v>
      </c>
    </row>
    <row r="36" spans="1:5" ht="16" x14ac:dyDescent="0.2">
      <c r="A36" t="s">
        <v>239</v>
      </c>
      <c r="B36" s="54">
        <v>7000</v>
      </c>
      <c r="C36" s="54">
        <v>3600</v>
      </c>
      <c r="D36" s="28" t="s">
        <v>225</v>
      </c>
      <c r="E36" s="104" t="s">
        <v>249</v>
      </c>
    </row>
    <row r="37" spans="1:5" ht="16" x14ac:dyDescent="0.2">
      <c r="A37" t="s">
        <v>240</v>
      </c>
      <c r="B37" s="54">
        <v>8000</v>
      </c>
      <c r="C37" s="54">
        <v>3500</v>
      </c>
      <c r="D37" s="28" t="s">
        <v>225</v>
      </c>
      <c r="E37" s="104" t="s">
        <v>250</v>
      </c>
    </row>
    <row r="38" spans="1:5" x14ac:dyDescent="0.2">
      <c r="B38" s="54"/>
      <c r="C38" s="54"/>
      <c r="D38" s="2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0E563-AABC-43CE-899D-1A6D9AA3C222}">
  <dimension ref="A1:X42"/>
  <sheetViews>
    <sheetView zoomScale="85" zoomScaleNormal="85" workbookViewId="0">
      <pane ySplit="1" topLeftCell="A2" activePane="bottomLeft" state="frozen"/>
      <selection pane="bottomLeft"/>
    </sheetView>
  </sheetViews>
  <sheetFormatPr baseColWidth="10" defaultColWidth="8.83203125" defaultRowHeight="15" x14ac:dyDescent="0.2"/>
  <cols>
    <col min="1" max="1" width="15.1640625" customWidth="1"/>
    <col min="2" max="2" width="27" customWidth="1"/>
    <col min="3" max="3" width="45.1640625" bestFit="1" customWidth="1"/>
    <col min="4" max="20" width="10" customWidth="1"/>
    <col min="21" max="21" width="15.33203125" customWidth="1"/>
    <col min="22" max="23" width="10" customWidth="1"/>
  </cols>
  <sheetData>
    <row r="1" spans="1:24" ht="64" x14ac:dyDescent="0.2">
      <c r="A1" s="139" t="s">
        <v>403</v>
      </c>
      <c r="B1" s="139" t="s">
        <v>197</v>
      </c>
      <c r="C1" s="139" t="s">
        <v>300</v>
      </c>
      <c r="D1" s="139" t="s">
        <v>301</v>
      </c>
      <c r="E1" s="139" t="s">
        <v>302</v>
      </c>
      <c r="F1" s="139" t="s">
        <v>251</v>
      </c>
      <c r="G1" s="139" t="s">
        <v>450</v>
      </c>
      <c r="H1" s="139" t="s">
        <v>252</v>
      </c>
      <c r="I1" s="139" t="s">
        <v>253</v>
      </c>
      <c r="J1" s="139" t="s">
        <v>303</v>
      </c>
      <c r="K1" s="139" t="s">
        <v>304</v>
      </c>
      <c r="L1" s="139" t="s">
        <v>305</v>
      </c>
      <c r="M1" s="169" t="s">
        <v>306</v>
      </c>
      <c r="N1" s="139" t="s">
        <v>307</v>
      </c>
      <c r="O1" s="139" t="s">
        <v>308</v>
      </c>
      <c r="P1" s="140" t="s">
        <v>309</v>
      </c>
      <c r="Q1" s="141" t="s">
        <v>310</v>
      </c>
      <c r="R1" s="142" t="s">
        <v>311</v>
      </c>
      <c r="T1" s="139" t="s">
        <v>312</v>
      </c>
      <c r="U1" s="143">
        <f>'Allocation &amp; CF'!AQ6</f>
        <v>328199.32666666666</v>
      </c>
      <c r="V1" s="139" t="s">
        <v>313</v>
      </c>
      <c r="W1" s="139" t="s">
        <v>442</v>
      </c>
      <c r="X1" s="139" t="s">
        <v>443</v>
      </c>
    </row>
    <row r="2" spans="1:24" ht="31.5" customHeight="1" x14ac:dyDescent="0.2">
      <c r="A2" s="171" t="s">
        <v>314</v>
      </c>
      <c r="B2" s="105" t="s">
        <v>271</v>
      </c>
      <c r="C2" s="170" t="s">
        <v>272</v>
      </c>
      <c r="D2" s="166">
        <v>1195</v>
      </c>
      <c r="E2" s="167">
        <f>12455+945</f>
        <v>13400</v>
      </c>
      <c r="F2" s="167">
        <v>0</v>
      </c>
      <c r="G2" s="171">
        <v>1500</v>
      </c>
      <c r="H2" s="171">
        <v>1125</v>
      </c>
      <c r="I2" s="171" t="s">
        <v>315</v>
      </c>
      <c r="J2" s="171"/>
      <c r="K2" s="172">
        <v>2300</v>
      </c>
      <c r="L2" s="172">
        <v>850</v>
      </c>
      <c r="M2" s="172">
        <v>1125</v>
      </c>
      <c r="N2" s="146" t="s">
        <v>112</v>
      </c>
      <c r="O2" s="105" t="s">
        <v>451</v>
      </c>
      <c r="P2" s="147" t="s">
        <v>316</v>
      </c>
      <c r="Q2" t="s">
        <v>70</v>
      </c>
      <c r="R2" s="144">
        <v>1195</v>
      </c>
      <c r="T2" s="58" t="s">
        <v>67</v>
      </c>
      <c r="U2" s="158">
        <f>SUM(R2:R28)</f>
        <v>328199.33</v>
      </c>
      <c r="V2" s="148">
        <f>E2/(D2+E2)</f>
        <v>0.91812264474134975</v>
      </c>
      <c r="W2" s="127">
        <f>D2/G2</f>
        <v>0.79666666666666663</v>
      </c>
      <c r="X2" s="127">
        <f>R2/G2</f>
        <v>0.79666666666666663</v>
      </c>
    </row>
    <row r="3" spans="1:24" ht="30.75" customHeight="1" x14ac:dyDescent="0.2">
      <c r="A3" s="171" t="s">
        <v>317</v>
      </c>
      <c r="B3" s="178" t="s">
        <v>279</v>
      </c>
      <c r="C3" s="170" t="s">
        <v>280</v>
      </c>
      <c r="D3" s="166">
        <v>3000</v>
      </c>
      <c r="E3" s="167">
        <v>7950</v>
      </c>
      <c r="F3" s="167">
        <v>3000</v>
      </c>
      <c r="G3" s="171">
        <v>1148</v>
      </c>
      <c r="H3" s="171">
        <v>1148</v>
      </c>
      <c r="I3" s="171" t="s">
        <v>318</v>
      </c>
      <c r="J3" s="171"/>
      <c r="K3" s="172">
        <v>512</v>
      </c>
      <c r="L3" s="172">
        <v>150</v>
      </c>
      <c r="M3" s="172">
        <v>1148</v>
      </c>
      <c r="N3" s="146" t="s">
        <v>112</v>
      </c>
      <c r="O3" s="179" t="s">
        <v>319</v>
      </c>
      <c r="P3" s="90" t="s">
        <v>320</v>
      </c>
      <c r="Q3" t="s">
        <v>70</v>
      </c>
      <c r="R3" s="144">
        <f>D3</f>
        <v>3000</v>
      </c>
      <c r="S3" t="s">
        <v>321</v>
      </c>
      <c r="T3" s="58" t="s">
        <v>322</v>
      </c>
      <c r="U3" s="157">
        <f>U1-U2</f>
        <v>-3.3333333558402956E-3</v>
      </c>
      <c r="V3" s="148">
        <f t="shared" ref="V3:V26" si="0">E3/(D3+E3)</f>
        <v>0.72602739726027399</v>
      </c>
      <c r="W3" s="127">
        <f>D3/G3</f>
        <v>2.6132404181184667</v>
      </c>
      <c r="X3" s="127">
        <f t="shared" ref="X3:X28" si="1">R3/G3</f>
        <v>2.6132404181184667</v>
      </c>
    </row>
    <row r="4" spans="1:24" ht="30.75" customHeight="1" x14ac:dyDescent="0.2">
      <c r="A4" s="171" t="s">
        <v>317</v>
      </c>
      <c r="B4" s="178" t="s">
        <v>281</v>
      </c>
      <c r="C4" s="170" t="s">
        <v>280</v>
      </c>
      <c r="D4" s="166">
        <v>3000</v>
      </c>
      <c r="E4" s="167">
        <v>501</v>
      </c>
      <c r="F4" s="167">
        <v>3000</v>
      </c>
      <c r="G4" s="171">
        <v>1500</v>
      </c>
      <c r="H4" s="171"/>
      <c r="I4" s="171" t="s">
        <v>318</v>
      </c>
      <c r="J4" s="171"/>
      <c r="K4" s="172">
        <v>425</v>
      </c>
      <c r="L4" s="172">
        <v>550</v>
      </c>
      <c r="M4" s="172" t="s">
        <v>323</v>
      </c>
      <c r="N4" s="146" t="s">
        <v>70</v>
      </c>
      <c r="O4" s="180" t="s">
        <v>324</v>
      </c>
      <c r="P4" s="90"/>
      <c r="Q4" t="s">
        <v>112</v>
      </c>
      <c r="R4" s="144">
        <v>0</v>
      </c>
      <c r="S4" t="s">
        <v>321</v>
      </c>
      <c r="V4" s="148">
        <f t="shared" si="0"/>
        <v>0.143101970865467</v>
      </c>
      <c r="W4" s="127">
        <f>D4/G4</f>
        <v>2</v>
      </c>
      <c r="X4" s="127">
        <f>R4/G4</f>
        <v>0</v>
      </c>
    </row>
    <row r="5" spans="1:24" ht="30.75" customHeight="1" x14ac:dyDescent="0.2">
      <c r="A5" s="171" t="s">
        <v>317</v>
      </c>
      <c r="B5" s="178" t="s">
        <v>264</v>
      </c>
      <c r="C5" s="170" t="s">
        <v>265</v>
      </c>
      <c r="D5" s="166">
        <v>5900</v>
      </c>
      <c r="E5" s="167">
        <v>2200</v>
      </c>
      <c r="F5" s="173">
        <v>0</v>
      </c>
      <c r="G5" s="171">
        <v>1000</v>
      </c>
      <c r="H5" s="171">
        <v>1000</v>
      </c>
      <c r="I5" s="171" t="s">
        <v>325</v>
      </c>
      <c r="J5" s="171"/>
      <c r="K5" s="172"/>
      <c r="L5" s="172"/>
      <c r="M5" s="172"/>
      <c r="N5" s="146" t="s">
        <v>112</v>
      </c>
      <c r="O5" s="181" t="s">
        <v>326</v>
      </c>
      <c r="P5" s="90" t="s">
        <v>327</v>
      </c>
      <c r="Q5" t="s">
        <v>70</v>
      </c>
      <c r="R5" s="144">
        <v>5900</v>
      </c>
      <c r="V5" s="148">
        <f t="shared" si="0"/>
        <v>0.27160493827160492</v>
      </c>
      <c r="W5" s="127">
        <f t="shared" ref="W5:W28" si="2">D5/G5</f>
        <v>5.9</v>
      </c>
      <c r="X5" s="127">
        <f t="shared" si="1"/>
        <v>5.9</v>
      </c>
    </row>
    <row r="6" spans="1:24" ht="30.75" customHeight="1" x14ac:dyDescent="0.2">
      <c r="A6" s="171" t="s">
        <v>317</v>
      </c>
      <c r="B6" s="178" t="s">
        <v>267</v>
      </c>
      <c r="C6" s="170" t="s">
        <v>265</v>
      </c>
      <c r="D6" s="166">
        <v>5900</v>
      </c>
      <c r="E6" s="167">
        <v>5100</v>
      </c>
      <c r="F6" s="167">
        <v>5900</v>
      </c>
      <c r="G6" s="171">
        <v>2500</v>
      </c>
      <c r="H6" s="171">
        <v>2500</v>
      </c>
      <c r="I6" s="171" t="s">
        <v>325</v>
      </c>
      <c r="J6" s="171" t="s">
        <v>328</v>
      </c>
      <c r="K6" s="172">
        <v>725</v>
      </c>
      <c r="L6" s="172" t="s">
        <v>323</v>
      </c>
      <c r="M6" s="172" t="s">
        <v>323</v>
      </c>
      <c r="N6" s="146" t="s">
        <v>70</v>
      </c>
      <c r="O6" s="180" t="s">
        <v>324</v>
      </c>
      <c r="P6" s="90"/>
      <c r="Q6" t="s">
        <v>70</v>
      </c>
      <c r="R6" s="144">
        <v>5900</v>
      </c>
      <c r="V6" s="148">
        <f t="shared" si="0"/>
        <v>0.46363636363636362</v>
      </c>
      <c r="W6" s="127">
        <f t="shared" si="2"/>
        <v>2.36</v>
      </c>
      <c r="X6" s="127">
        <f t="shared" si="1"/>
        <v>2.36</v>
      </c>
    </row>
    <row r="7" spans="1:24" ht="30.75" customHeight="1" x14ac:dyDescent="0.2">
      <c r="A7" s="171" t="s">
        <v>329</v>
      </c>
      <c r="B7" s="105" t="s">
        <v>285</v>
      </c>
      <c r="C7" s="170" t="s">
        <v>286</v>
      </c>
      <c r="D7" s="166">
        <v>6800</v>
      </c>
      <c r="E7" s="167">
        <v>28800</v>
      </c>
      <c r="F7" s="167">
        <v>6800</v>
      </c>
      <c r="G7" s="171">
        <v>1000</v>
      </c>
      <c r="H7" s="171" t="s">
        <v>282</v>
      </c>
      <c r="I7" s="171" t="s">
        <v>266</v>
      </c>
      <c r="J7" s="171"/>
      <c r="K7" s="172" t="s">
        <v>330</v>
      </c>
      <c r="L7" s="172">
        <v>864</v>
      </c>
      <c r="M7" s="174" t="s">
        <v>331</v>
      </c>
      <c r="N7" s="146" t="s">
        <v>70</v>
      </c>
      <c r="O7" s="182" t="s">
        <v>332</v>
      </c>
      <c r="P7" s="90"/>
      <c r="Q7" s="90" t="s">
        <v>70</v>
      </c>
      <c r="R7" s="144">
        <v>6800</v>
      </c>
      <c r="V7" s="148">
        <f t="shared" si="0"/>
        <v>0.8089887640449438</v>
      </c>
      <c r="W7" s="127">
        <f t="shared" si="2"/>
        <v>6.8</v>
      </c>
      <c r="X7" s="127">
        <f t="shared" si="1"/>
        <v>6.8</v>
      </c>
    </row>
    <row r="8" spans="1:24" ht="30.75" customHeight="1" x14ac:dyDescent="0.2">
      <c r="A8" s="171" t="s">
        <v>333</v>
      </c>
      <c r="B8" s="105" t="s">
        <v>277</v>
      </c>
      <c r="C8" s="170" t="s">
        <v>278</v>
      </c>
      <c r="D8" s="166">
        <v>7000</v>
      </c>
      <c r="E8" s="167">
        <v>9132</v>
      </c>
      <c r="F8" s="167">
        <v>7000</v>
      </c>
      <c r="G8" s="171">
        <v>1000</v>
      </c>
      <c r="H8" s="171" t="s">
        <v>282</v>
      </c>
      <c r="I8" s="171" t="s">
        <v>334</v>
      </c>
      <c r="J8" s="171" t="s">
        <v>335</v>
      </c>
      <c r="K8" s="172">
        <v>3000</v>
      </c>
      <c r="L8" s="172">
        <v>2600</v>
      </c>
      <c r="M8" s="174">
        <v>2205</v>
      </c>
      <c r="N8" s="146" t="s">
        <v>70</v>
      </c>
      <c r="O8" s="182" t="s">
        <v>336</v>
      </c>
      <c r="P8" s="90"/>
      <c r="Q8" t="s">
        <v>70</v>
      </c>
      <c r="R8" s="144">
        <v>7000</v>
      </c>
      <c r="V8" s="148">
        <f t="shared" si="0"/>
        <v>0.56607984130919908</v>
      </c>
      <c r="W8" s="127">
        <f t="shared" si="2"/>
        <v>7</v>
      </c>
      <c r="X8" s="127">
        <f t="shared" si="1"/>
        <v>7</v>
      </c>
    </row>
    <row r="9" spans="1:24" ht="30.75" customHeight="1" x14ac:dyDescent="0.2">
      <c r="A9" s="171" t="s">
        <v>317</v>
      </c>
      <c r="B9" s="178" t="s">
        <v>337</v>
      </c>
      <c r="C9" s="170" t="s">
        <v>462</v>
      </c>
      <c r="D9" s="166">
        <v>7000</v>
      </c>
      <c r="E9" s="167">
        <v>1000</v>
      </c>
      <c r="F9" s="167">
        <v>7000</v>
      </c>
      <c r="G9" s="171">
        <v>1000</v>
      </c>
      <c r="H9" s="171" t="s">
        <v>282</v>
      </c>
      <c r="I9" s="171" t="s">
        <v>338</v>
      </c>
      <c r="J9" s="171"/>
      <c r="K9" s="172">
        <v>600</v>
      </c>
      <c r="L9" s="172" t="s">
        <v>323</v>
      </c>
      <c r="M9" s="172" t="s">
        <v>323</v>
      </c>
      <c r="N9" s="146" t="s">
        <v>70</v>
      </c>
      <c r="O9" s="180" t="s">
        <v>324</v>
      </c>
      <c r="P9" s="90"/>
      <c r="Q9" t="s">
        <v>70</v>
      </c>
      <c r="R9" s="144">
        <v>7000</v>
      </c>
      <c r="V9" s="148">
        <f t="shared" si="0"/>
        <v>0.125</v>
      </c>
      <c r="W9" s="127">
        <f t="shared" si="2"/>
        <v>7</v>
      </c>
      <c r="X9" s="127">
        <f t="shared" si="1"/>
        <v>7</v>
      </c>
    </row>
    <row r="10" spans="1:24" ht="30.75" customHeight="1" x14ac:dyDescent="0.2">
      <c r="A10" s="171" t="s">
        <v>317</v>
      </c>
      <c r="B10" s="178" t="s">
        <v>262</v>
      </c>
      <c r="C10" s="170" t="s">
        <v>263</v>
      </c>
      <c r="D10" s="166">
        <f>13725-E10</f>
        <v>9725</v>
      </c>
      <c r="E10" s="167">
        <f>2500+1500</f>
        <v>4000</v>
      </c>
      <c r="F10" s="167">
        <v>4500</v>
      </c>
      <c r="G10" s="171" t="s">
        <v>339</v>
      </c>
      <c r="H10" s="171"/>
      <c r="I10" s="171"/>
      <c r="J10" s="171" t="s">
        <v>340</v>
      </c>
      <c r="K10" s="172">
        <v>357</v>
      </c>
      <c r="L10" s="172" t="s">
        <v>323</v>
      </c>
      <c r="M10" s="172" t="s">
        <v>323</v>
      </c>
      <c r="N10" s="146" t="s">
        <v>70</v>
      </c>
      <c r="O10" s="183" t="s">
        <v>440</v>
      </c>
      <c r="P10" s="90"/>
      <c r="Q10" s="102" t="s">
        <v>70</v>
      </c>
      <c r="R10" s="144">
        <v>7225</v>
      </c>
      <c r="V10" s="148">
        <f>E10/(D10+E10)</f>
        <v>0.29143897996357016</v>
      </c>
      <c r="W10" s="127">
        <f>D10/720</f>
        <v>13.506944444444445</v>
      </c>
      <c r="X10" s="127">
        <f>R10/720</f>
        <v>10.034722222222221</v>
      </c>
    </row>
    <row r="11" spans="1:24" ht="30.75" customHeight="1" x14ac:dyDescent="0.2">
      <c r="A11" s="171" t="s">
        <v>317</v>
      </c>
      <c r="B11" s="178" t="s">
        <v>268</v>
      </c>
      <c r="C11" s="170" t="s">
        <v>269</v>
      </c>
      <c r="D11" s="166">
        <v>15000</v>
      </c>
      <c r="E11" s="167">
        <v>44017</v>
      </c>
      <c r="F11" s="167">
        <v>13500</v>
      </c>
      <c r="G11" s="171">
        <v>3000</v>
      </c>
      <c r="H11" s="171">
        <v>3000</v>
      </c>
      <c r="I11" s="171" t="s">
        <v>325</v>
      </c>
      <c r="J11" s="171"/>
      <c r="K11" s="172">
        <v>4500</v>
      </c>
      <c r="L11" s="172">
        <v>4500</v>
      </c>
      <c r="M11" s="172" t="s">
        <v>323</v>
      </c>
      <c r="N11" s="146" t="s">
        <v>70</v>
      </c>
      <c r="O11" s="180" t="s">
        <v>452</v>
      </c>
      <c r="P11" s="90"/>
      <c r="Q11" t="s">
        <v>70</v>
      </c>
      <c r="R11" s="144">
        <v>15000</v>
      </c>
      <c r="V11" s="148">
        <f t="shared" si="0"/>
        <v>0.74583594557500377</v>
      </c>
      <c r="W11" s="127">
        <f>D11/G11</f>
        <v>5</v>
      </c>
      <c r="X11" s="127">
        <f t="shared" si="1"/>
        <v>5</v>
      </c>
    </row>
    <row r="12" spans="1:24" ht="30.75" customHeight="1" x14ac:dyDescent="0.2">
      <c r="A12" s="171" t="s">
        <v>341</v>
      </c>
      <c r="B12" s="105" t="s">
        <v>289</v>
      </c>
      <c r="C12" s="105" t="s">
        <v>290</v>
      </c>
      <c r="D12" s="166">
        <f>14636.83+3830+8568.33-E12</f>
        <v>18466.830000000002</v>
      </c>
      <c r="E12" s="167">
        <v>8568.33</v>
      </c>
      <c r="F12" s="173">
        <v>0</v>
      </c>
      <c r="G12" s="171">
        <v>1000</v>
      </c>
      <c r="H12" s="171">
        <v>700</v>
      </c>
      <c r="I12" s="171" t="s">
        <v>342</v>
      </c>
      <c r="J12" s="171" t="s">
        <v>343</v>
      </c>
      <c r="K12" s="172">
        <v>700</v>
      </c>
      <c r="L12" s="172" t="s">
        <v>344</v>
      </c>
      <c r="M12" s="172">
        <v>450</v>
      </c>
      <c r="N12" s="146" t="s">
        <v>112</v>
      </c>
      <c r="O12" s="183" t="s">
        <v>345</v>
      </c>
      <c r="P12" s="90" t="s">
        <v>346</v>
      </c>
      <c r="Q12" s="102" t="s">
        <v>70</v>
      </c>
      <c r="R12" s="144">
        <v>9466.8300000000017</v>
      </c>
      <c r="V12" s="148">
        <f t="shared" si="0"/>
        <v>0.31693283857021742</v>
      </c>
      <c r="W12" s="127">
        <f>D12/G12</f>
        <v>18.466830000000002</v>
      </c>
      <c r="X12" s="127">
        <f t="shared" si="1"/>
        <v>9.4668300000000016</v>
      </c>
    </row>
    <row r="13" spans="1:24" ht="30.75" customHeight="1" x14ac:dyDescent="0.2">
      <c r="A13" s="171" t="s">
        <v>347</v>
      </c>
      <c r="B13" s="105" t="s">
        <v>214</v>
      </c>
      <c r="C13" s="170" t="s">
        <v>270</v>
      </c>
      <c r="D13" s="167">
        <f>19300-E13</f>
        <v>14300</v>
      </c>
      <c r="E13" s="167">
        <v>5000</v>
      </c>
      <c r="F13" s="167">
        <v>5500</v>
      </c>
      <c r="G13" s="171">
        <v>1700</v>
      </c>
      <c r="H13" s="171">
        <v>1500</v>
      </c>
      <c r="I13" s="105" t="s">
        <v>453</v>
      </c>
      <c r="J13" s="171"/>
      <c r="K13" s="172">
        <v>1500</v>
      </c>
      <c r="L13" s="172">
        <v>1500</v>
      </c>
      <c r="M13" s="174">
        <v>345</v>
      </c>
      <c r="N13" s="146" t="s">
        <v>70</v>
      </c>
      <c r="O13" s="183" t="s">
        <v>454</v>
      </c>
      <c r="P13" s="90"/>
      <c r="Q13" s="102" t="s">
        <v>70</v>
      </c>
      <c r="R13" s="145">
        <v>9300</v>
      </c>
      <c r="V13" s="148">
        <f t="shared" si="0"/>
        <v>0.25906735751295334</v>
      </c>
      <c r="W13" s="127">
        <f>D13/G13</f>
        <v>8.4117647058823533</v>
      </c>
      <c r="X13" s="127">
        <f t="shared" si="1"/>
        <v>5.4705882352941178</v>
      </c>
    </row>
    <row r="14" spans="1:24" ht="30.75" customHeight="1" x14ac:dyDescent="0.2">
      <c r="A14" s="171" t="s">
        <v>348</v>
      </c>
      <c r="B14" s="105" t="s">
        <v>254</v>
      </c>
      <c r="C14" s="105" t="s">
        <v>255</v>
      </c>
      <c r="D14" s="167">
        <v>19648</v>
      </c>
      <c r="E14" s="167">
        <v>1000</v>
      </c>
      <c r="F14" s="167">
        <v>16000</v>
      </c>
      <c r="G14" s="171">
        <v>800</v>
      </c>
      <c r="H14" s="171" t="s">
        <v>349</v>
      </c>
      <c r="I14" s="171" t="s">
        <v>350</v>
      </c>
      <c r="J14" s="171"/>
      <c r="K14" s="172">
        <v>650</v>
      </c>
      <c r="L14" s="174">
        <v>650</v>
      </c>
      <c r="M14" s="172" t="s">
        <v>351</v>
      </c>
      <c r="N14" s="146" t="s">
        <v>112</v>
      </c>
      <c r="O14" s="184" t="s">
        <v>441</v>
      </c>
      <c r="P14" s="90" t="s">
        <v>352</v>
      </c>
      <c r="Q14" t="s">
        <v>112</v>
      </c>
      <c r="R14" s="145">
        <v>0</v>
      </c>
      <c r="S14" t="s">
        <v>353</v>
      </c>
      <c r="V14" s="148">
        <f t="shared" si="0"/>
        <v>4.8430840759395584E-2</v>
      </c>
      <c r="W14" s="127">
        <f t="shared" si="2"/>
        <v>24.56</v>
      </c>
      <c r="X14" s="127">
        <f t="shared" si="1"/>
        <v>0</v>
      </c>
    </row>
    <row r="15" spans="1:24" ht="30.75" customHeight="1" x14ac:dyDescent="0.2">
      <c r="A15" s="171" t="s">
        <v>314</v>
      </c>
      <c r="B15" s="105" t="s">
        <v>240</v>
      </c>
      <c r="C15" s="170" t="s">
        <v>273</v>
      </c>
      <c r="D15" s="167">
        <f>22200-E15</f>
        <v>18700</v>
      </c>
      <c r="E15" s="167">
        <v>3500</v>
      </c>
      <c r="F15" s="167">
        <v>10364.4</v>
      </c>
      <c r="G15" s="171">
        <v>1559</v>
      </c>
      <c r="H15" s="171" t="s">
        <v>354</v>
      </c>
      <c r="I15" s="171"/>
      <c r="J15" s="171" t="s">
        <v>437</v>
      </c>
      <c r="K15" s="172">
        <v>675</v>
      </c>
      <c r="L15" s="172">
        <v>4859</v>
      </c>
      <c r="M15" s="172">
        <v>1559</v>
      </c>
      <c r="N15" s="146" t="s">
        <v>70</v>
      </c>
      <c r="O15" s="185" t="s">
        <v>355</v>
      </c>
      <c r="P15" s="90"/>
      <c r="Q15" s="102" t="s">
        <v>70</v>
      </c>
      <c r="R15" s="145">
        <v>14700</v>
      </c>
      <c r="V15" s="148">
        <f t="shared" si="0"/>
        <v>0.15765765765765766</v>
      </c>
      <c r="W15" s="127">
        <f t="shared" si="2"/>
        <v>11.994868505452214</v>
      </c>
      <c r="X15" s="127">
        <f t="shared" si="1"/>
        <v>9.4291212315586908</v>
      </c>
    </row>
    <row r="16" spans="1:24" ht="30.75" customHeight="1" x14ac:dyDescent="0.2">
      <c r="A16" s="171" t="s">
        <v>317</v>
      </c>
      <c r="B16" s="178" t="s">
        <v>260</v>
      </c>
      <c r="C16" s="170" t="s">
        <v>455</v>
      </c>
      <c r="D16" s="166">
        <f>24000</f>
        <v>24000</v>
      </c>
      <c r="E16" s="167">
        <f>29985-D16</f>
        <v>5985</v>
      </c>
      <c r="F16" s="167">
        <v>8000</v>
      </c>
      <c r="G16" s="105" t="s">
        <v>356</v>
      </c>
      <c r="H16" s="171">
        <v>832</v>
      </c>
      <c r="I16" s="171" t="s">
        <v>357</v>
      </c>
      <c r="J16" s="171"/>
      <c r="K16" s="172">
        <v>832</v>
      </c>
      <c r="L16" s="172">
        <v>703</v>
      </c>
      <c r="M16" s="174">
        <v>325</v>
      </c>
      <c r="N16" s="146" t="s">
        <v>70</v>
      </c>
      <c r="O16" s="180" t="s">
        <v>324</v>
      </c>
      <c r="P16" s="90"/>
      <c r="Q16" s="102" t="s">
        <v>70</v>
      </c>
      <c r="R16" s="144">
        <v>16000</v>
      </c>
      <c r="V16" s="148">
        <f t="shared" si="0"/>
        <v>0.19959979989994997</v>
      </c>
      <c r="W16" s="163">
        <f>D16/900</f>
        <v>26.666666666666668</v>
      </c>
      <c r="X16" s="127">
        <f>R16/900</f>
        <v>17.777777777777779</v>
      </c>
    </row>
    <row r="17" spans="1:24" ht="30.75" customHeight="1" x14ac:dyDescent="0.2">
      <c r="A17" s="171" t="s">
        <v>358</v>
      </c>
      <c r="B17" s="105" t="s">
        <v>259</v>
      </c>
      <c r="C17" s="105" t="s">
        <v>455</v>
      </c>
      <c r="D17" s="166">
        <f>26687-E17</f>
        <v>21349.599999999999</v>
      </c>
      <c r="E17" s="167">
        <v>5337.4000000000005</v>
      </c>
      <c r="F17" s="173">
        <v>0</v>
      </c>
      <c r="G17" s="105" t="s">
        <v>359</v>
      </c>
      <c r="H17" s="171">
        <v>563</v>
      </c>
      <c r="I17" s="171"/>
      <c r="J17" s="171"/>
      <c r="K17" s="172">
        <v>563</v>
      </c>
      <c r="L17" s="172">
        <v>227</v>
      </c>
      <c r="M17" s="174" t="s">
        <v>360</v>
      </c>
      <c r="N17" s="146" t="s">
        <v>112</v>
      </c>
      <c r="O17" s="183" t="s">
        <v>456</v>
      </c>
      <c r="P17" s="149"/>
      <c r="Q17" t="s">
        <v>112</v>
      </c>
      <c r="R17" s="144">
        <v>0</v>
      </c>
      <c r="S17" t="s">
        <v>361</v>
      </c>
      <c r="V17" s="148">
        <f t="shared" si="0"/>
        <v>0.2</v>
      </c>
      <c r="W17" s="127">
        <f>D17/900</f>
        <v>23.721777777777778</v>
      </c>
      <c r="X17" s="60">
        <f>R17/900</f>
        <v>0</v>
      </c>
    </row>
    <row r="18" spans="1:24" ht="30.75" customHeight="1" x14ac:dyDescent="0.2">
      <c r="A18" s="171" t="s">
        <v>362</v>
      </c>
      <c r="B18" s="105" t="s">
        <v>257</v>
      </c>
      <c r="C18" s="105" t="s">
        <v>455</v>
      </c>
      <c r="D18" s="166">
        <f>27650-E18</f>
        <v>22120</v>
      </c>
      <c r="E18" s="167">
        <v>5530</v>
      </c>
      <c r="F18" s="173">
        <v>0</v>
      </c>
      <c r="G18" s="105" t="s">
        <v>363</v>
      </c>
      <c r="H18" s="171">
        <v>237</v>
      </c>
      <c r="I18" s="171"/>
      <c r="J18" s="186"/>
      <c r="K18" s="172">
        <v>179</v>
      </c>
      <c r="L18" s="174" t="s">
        <v>364</v>
      </c>
      <c r="M18" s="172">
        <v>237</v>
      </c>
      <c r="N18" s="105" t="s">
        <v>112</v>
      </c>
      <c r="O18" s="194" t="s">
        <v>457</v>
      </c>
      <c r="P18" s="149"/>
      <c r="Q18" t="s">
        <v>112</v>
      </c>
      <c r="R18" s="144">
        <v>0</v>
      </c>
      <c r="S18" t="s">
        <v>361</v>
      </c>
      <c r="V18" s="148">
        <f t="shared" si="0"/>
        <v>0.2</v>
      </c>
      <c r="W18" s="127">
        <f>D18/850</f>
        <v>26.023529411764706</v>
      </c>
      <c r="X18" s="127">
        <f>R18/850</f>
        <v>0</v>
      </c>
    </row>
    <row r="19" spans="1:24" ht="30.75" customHeight="1" x14ac:dyDescent="0.2">
      <c r="A19" s="171" t="s">
        <v>358</v>
      </c>
      <c r="B19" s="105" t="s">
        <v>258</v>
      </c>
      <c r="C19" s="105" t="s">
        <v>455</v>
      </c>
      <c r="D19" s="166">
        <f>27650-E19</f>
        <v>22120</v>
      </c>
      <c r="E19" s="167">
        <v>5530</v>
      </c>
      <c r="F19" s="173">
        <v>0</v>
      </c>
      <c r="G19" s="105" t="s">
        <v>365</v>
      </c>
      <c r="H19" s="171">
        <v>179</v>
      </c>
      <c r="I19" s="171"/>
      <c r="J19" s="186"/>
      <c r="K19" s="172">
        <v>179</v>
      </c>
      <c r="L19" s="174" t="s">
        <v>364</v>
      </c>
      <c r="M19" s="172"/>
      <c r="N19" s="146" t="s">
        <v>112</v>
      </c>
      <c r="O19" s="194"/>
      <c r="P19" s="149"/>
      <c r="Q19" t="s">
        <v>112</v>
      </c>
      <c r="R19" s="144">
        <v>0</v>
      </c>
      <c r="S19" t="s">
        <v>361</v>
      </c>
      <c r="V19" s="148">
        <f t="shared" si="0"/>
        <v>0.2</v>
      </c>
      <c r="W19" s="127">
        <f>D19/750</f>
        <v>29.493333333333332</v>
      </c>
      <c r="X19" s="127">
        <f>R19/750</f>
        <v>0</v>
      </c>
    </row>
    <row r="20" spans="1:24" ht="30.75" customHeight="1" x14ac:dyDescent="0.2">
      <c r="A20" s="171" t="s">
        <v>362</v>
      </c>
      <c r="B20" s="105" t="s">
        <v>256</v>
      </c>
      <c r="C20" s="105" t="s">
        <v>455</v>
      </c>
      <c r="D20" s="167">
        <f>28650-E20</f>
        <v>22920</v>
      </c>
      <c r="E20" s="167">
        <v>5730</v>
      </c>
      <c r="F20" s="173">
        <v>0</v>
      </c>
      <c r="G20" s="105" t="s">
        <v>366</v>
      </c>
      <c r="H20" s="171" t="s">
        <v>367</v>
      </c>
      <c r="I20" s="171"/>
      <c r="J20" s="105" t="s">
        <v>368</v>
      </c>
      <c r="K20" s="172" t="s">
        <v>261</v>
      </c>
      <c r="L20" s="172" t="s">
        <v>261</v>
      </c>
      <c r="M20" s="172" t="s">
        <v>261</v>
      </c>
      <c r="N20" s="146" t="s">
        <v>112</v>
      </c>
      <c r="O20" s="194"/>
      <c r="P20" s="149" t="s">
        <v>369</v>
      </c>
      <c r="Q20" t="s">
        <v>112</v>
      </c>
      <c r="R20" s="145">
        <v>0</v>
      </c>
      <c r="S20" t="s">
        <v>361</v>
      </c>
      <c r="V20" s="148">
        <f t="shared" si="0"/>
        <v>0.2</v>
      </c>
      <c r="W20" s="127">
        <f>D20/700</f>
        <v>32.74285714285714</v>
      </c>
      <c r="X20" s="127">
        <f>R20/700</f>
        <v>0</v>
      </c>
    </row>
    <row r="21" spans="1:24" ht="30.75" customHeight="1" x14ac:dyDescent="0.2">
      <c r="A21" s="171" t="s">
        <v>370</v>
      </c>
      <c r="B21" s="105" t="s">
        <v>287</v>
      </c>
      <c r="C21" s="105" t="s">
        <v>288</v>
      </c>
      <c r="D21" s="166">
        <v>30000</v>
      </c>
      <c r="E21" s="167">
        <v>20772</v>
      </c>
      <c r="F21" s="167">
        <v>21000</v>
      </c>
      <c r="G21" s="171">
        <v>1800</v>
      </c>
      <c r="H21" s="171" t="s">
        <v>371</v>
      </c>
      <c r="I21" s="171" t="s">
        <v>372</v>
      </c>
      <c r="J21" s="171" t="s">
        <v>458</v>
      </c>
      <c r="K21" s="172">
        <v>1678</v>
      </c>
      <c r="L21" s="172">
        <v>1886</v>
      </c>
      <c r="M21" s="172">
        <v>456</v>
      </c>
      <c r="N21" s="146" t="s">
        <v>70</v>
      </c>
      <c r="O21" s="180" t="s">
        <v>324</v>
      </c>
      <c r="P21" s="90"/>
      <c r="Q21" t="s">
        <v>70</v>
      </c>
      <c r="R21" s="144">
        <v>30000</v>
      </c>
      <c r="V21" s="148">
        <f>E21/(D21+E21)</f>
        <v>0.40912313873788703</v>
      </c>
      <c r="W21" s="127">
        <f t="shared" si="2"/>
        <v>16.666666666666668</v>
      </c>
      <c r="X21" s="127">
        <f t="shared" si="1"/>
        <v>16.666666666666668</v>
      </c>
    </row>
    <row r="22" spans="1:24" ht="30.75" customHeight="1" x14ac:dyDescent="0.2">
      <c r="A22" s="171" t="s">
        <v>373</v>
      </c>
      <c r="B22" s="105" t="s">
        <v>274</v>
      </c>
      <c r="C22" s="170" t="s">
        <v>275</v>
      </c>
      <c r="D22" s="167">
        <f>33645</f>
        <v>33645</v>
      </c>
      <c r="E22" s="167">
        <v>98000</v>
      </c>
      <c r="F22" s="167">
        <v>17500</v>
      </c>
      <c r="G22" s="105" t="s">
        <v>374</v>
      </c>
      <c r="H22" s="171">
        <v>740</v>
      </c>
      <c r="I22" s="171"/>
      <c r="J22" s="105" t="s">
        <v>375</v>
      </c>
      <c r="K22" s="172" t="s">
        <v>376</v>
      </c>
      <c r="L22" s="172" t="s">
        <v>377</v>
      </c>
      <c r="M22" s="174" t="s">
        <v>459</v>
      </c>
      <c r="N22" s="146" t="s">
        <v>70</v>
      </c>
      <c r="O22" s="183" t="s">
        <v>460</v>
      </c>
      <c r="P22" s="90"/>
      <c r="Q22" s="102" t="s">
        <v>70</v>
      </c>
      <c r="R22" s="145">
        <v>25572.5</v>
      </c>
      <c r="V22" s="148">
        <f t="shared" si="0"/>
        <v>0.74442629799840476</v>
      </c>
      <c r="W22" s="127">
        <f>D22/660</f>
        <v>50.977272727272727</v>
      </c>
      <c r="X22" s="127">
        <f>R22/660</f>
        <v>38.746212121212125</v>
      </c>
    </row>
    <row r="23" spans="1:24" ht="30.75" customHeight="1" x14ac:dyDescent="0.2">
      <c r="A23" s="171" t="s">
        <v>378</v>
      </c>
      <c r="B23" s="105" t="s">
        <v>379</v>
      </c>
      <c r="C23" s="170" t="s">
        <v>273</v>
      </c>
      <c r="D23" s="166">
        <f>57000-E23</f>
        <v>44500</v>
      </c>
      <c r="E23" s="167">
        <v>12500</v>
      </c>
      <c r="F23" s="167">
        <v>24000</v>
      </c>
      <c r="G23" s="171">
        <v>3000</v>
      </c>
      <c r="H23" s="171">
        <v>2844</v>
      </c>
      <c r="I23" s="175" t="s">
        <v>380</v>
      </c>
      <c r="J23" s="176" t="s">
        <v>381</v>
      </c>
      <c r="K23" s="172" t="s">
        <v>382</v>
      </c>
      <c r="L23" s="172" t="s">
        <v>383</v>
      </c>
      <c r="M23" s="174" t="s">
        <v>384</v>
      </c>
      <c r="N23" s="146" t="s">
        <v>70</v>
      </c>
      <c r="O23" s="182" t="s">
        <v>461</v>
      </c>
      <c r="P23" s="90"/>
      <c r="Q23" s="102" t="s">
        <v>70</v>
      </c>
      <c r="R23" s="144">
        <v>34250</v>
      </c>
      <c r="V23" s="148">
        <f t="shared" si="0"/>
        <v>0.21929824561403508</v>
      </c>
      <c r="W23" s="127">
        <f t="shared" si="2"/>
        <v>14.833333333333334</v>
      </c>
      <c r="X23" s="127">
        <f t="shared" si="1"/>
        <v>11.416666666666666</v>
      </c>
    </row>
    <row r="24" spans="1:24" ht="30.75" customHeight="1" x14ac:dyDescent="0.2">
      <c r="A24" s="171" t="s">
        <v>385</v>
      </c>
      <c r="B24" s="105" t="s">
        <v>386</v>
      </c>
      <c r="C24" s="170" t="s">
        <v>273</v>
      </c>
      <c r="D24" s="167">
        <f>48155-E24</f>
        <v>36655</v>
      </c>
      <c r="E24" s="167">
        <v>11500</v>
      </c>
      <c r="F24" s="167">
        <v>15000</v>
      </c>
      <c r="G24" s="177">
        <v>6500</v>
      </c>
      <c r="H24" s="177" t="s">
        <v>387</v>
      </c>
      <c r="I24" s="171" t="s">
        <v>388</v>
      </c>
      <c r="J24" s="171"/>
      <c r="K24" s="172">
        <v>5000</v>
      </c>
      <c r="L24" s="172">
        <v>6500</v>
      </c>
      <c r="M24" s="174">
        <v>1016</v>
      </c>
      <c r="N24" s="146" t="s">
        <v>70</v>
      </c>
      <c r="O24" s="180" t="s">
        <v>324</v>
      </c>
      <c r="P24" s="90"/>
      <c r="Q24" s="102" t="s">
        <v>70</v>
      </c>
      <c r="R24" s="145">
        <v>18655</v>
      </c>
      <c r="V24" s="148">
        <f t="shared" si="0"/>
        <v>0.23881216903748312</v>
      </c>
      <c r="W24" s="127">
        <f t="shared" si="2"/>
        <v>5.6392307692307693</v>
      </c>
      <c r="X24" s="127">
        <f t="shared" si="1"/>
        <v>2.87</v>
      </c>
    </row>
    <row r="25" spans="1:24" ht="30.75" customHeight="1" x14ac:dyDescent="0.2">
      <c r="A25" s="171" t="s">
        <v>329</v>
      </c>
      <c r="B25" s="105" t="s">
        <v>283</v>
      </c>
      <c r="C25" s="170" t="s">
        <v>284</v>
      </c>
      <c r="D25" s="166">
        <f>49000-E25</f>
        <v>28200</v>
      </c>
      <c r="E25" s="167">
        <f>E31</f>
        <v>20800</v>
      </c>
      <c r="F25" s="167">
        <v>30000</v>
      </c>
      <c r="G25" s="171">
        <v>3441</v>
      </c>
      <c r="H25" s="171" t="s">
        <v>282</v>
      </c>
      <c r="I25" s="105" t="s">
        <v>318</v>
      </c>
      <c r="J25" s="171" t="s">
        <v>389</v>
      </c>
      <c r="K25" s="172" t="s">
        <v>390</v>
      </c>
      <c r="L25" s="172" t="s">
        <v>391</v>
      </c>
      <c r="M25" s="174" t="s">
        <v>392</v>
      </c>
      <c r="N25" s="146" t="s">
        <v>70</v>
      </c>
      <c r="O25" s="182" t="s">
        <v>324</v>
      </c>
      <c r="P25" s="90"/>
      <c r="Q25" t="s">
        <v>70</v>
      </c>
      <c r="R25" s="144">
        <v>28200</v>
      </c>
      <c r="V25" s="148">
        <f t="shared" si="0"/>
        <v>0.42448979591836733</v>
      </c>
      <c r="W25" s="127">
        <f t="shared" si="2"/>
        <v>8.1952920662598085</v>
      </c>
      <c r="X25" s="127">
        <f t="shared" si="1"/>
        <v>8.1952920662598085</v>
      </c>
    </row>
    <row r="26" spans="1:24" ht="50.25" customHeight="1" x14ac:dyDescent="0.2">
      <c r="A26" s="171" t="s">
        <v>393</v>
      </c>
      <c r="B26" s="178" t="s">
        <v>404</v>
      </c>
      <c r="C26" s="170" t="s">
        <v>394</v>
      </c>
      <c r="D26" s="166">
        <f>25000+35000</f>
        <v>60000</v>
      </c>
      <c r="E26" s="167">
        <f>10000+2600+5700</f>
        <v>18300</v>
      </c>
      <c r="F26" s="167">
        <v>25000</v>
      </c>
      <c r="G26" s="171">
        <v>1000</v>
      </c>
      <c r="H26" s="171" t="s">
        <v>282</v>
      </c>
      <c r="I26" s="105" t="s">
        <v>395</v>
      </c>
      <c r="J26" s="105" t="s">
        <v>396</v>
      </c>
      <c r="K26" s="172">
        <v>1125</v>
      </c>
      <c r="L26" s="172">
        <v>1185</v>
      </c>
      <c r="M26" s="174">
        <v>556</v>
      </c>
      <c r="N26" s="146" t="s">
        <v>70</v>
      </c>
      <c r="O26" s="183" t="s">
        <v>439</v>
      </c>
      <c r="P26" s="90"/>
      <c r="Q26" s="102" t="s">
        <v>70</v>
      </c>
      <c r="R26" s="144">
        <f>33750+3250</f>
        <v>37000</v>
      </c>
      <c r="V26" s="148">
        <f t="shared" si="0"/>
        <v>0.23371647509578544</v>
      </c>
      <c r="W26" s="127">
        <f>D26/G26</f>
        <v>60</v>
      </c>
      <c r="X26" s="127">
        <f>R26/(G26)</f>
        <v>37</v>
      </c>
    </row>
    <row r="27" spans="1:24" ht="30.75" customHeight="1" x14ac:dyDescent="0.2">
      <c r="A27" s="171" t="s">
        <v>393</v>
      </c>
      <c r="B27" s="178" t="s">
        <v>397</v>
      </c>
      <c r="C27" s="170" t="s">
        <v>394</v>
      </c>
      <c r="D27" s="166">
        <f>13000</f>
        <v>13000</v>
      </c>
      <c r="E27" s="167">
        <f>2500</f>
        <v>2500</v>
      </c>
      <c r="F27" s="173">
        <v>0</v>
      </c>
      <c r="G27" s="171">
        <v>900</v>
      </c>
      <c r="H27" s="171">
        <v>300</v>
      </c>
      <c r="I27" s="105" t="s">
        <v>395</v>
      </c>
      <c r="J27" s="105" t="s">
        <v>396</v>
      </c>
      <c r="K27" s="172">
        <v>200</v>
      </c>
      <c r="L27" s="172" t="s">
        <v>323</v>
      </c>
      <c r="M27" s="174">
        <v>300</v>
      </c>
      <c r="N27" s="146" t="s">
        <v>70</v>
      </c>
      <c r="O27" s="183" t="s">
        <v>438</v>
      </c>
      <c r="P27" s="90"/>
      <c r="Q27" s="102" t="s">
        <v>70</v>
      </c>
      <c r="R27" s="144" t="s">
        <v>405</v>
      </c>
      <c r="V27" s="148">
        <f>E27/(D27+E27)</f>
        <v>0.16129032258064516</v>
      </c>
      <c r="W27" s="127">
        <f>D27/G27</f>
        <v>14.444444444444445</v>
      </c>
      <c r="X27" s="127" t="s">
        <v>344</v>
      </c>
    </row>
    <row r="28" spans="1:24" ht="30.75" customHeight="1" x14ac:dyDescent="0.2">
      <c r="A28" s="171" t="s">
        <v>333</v>
      </c>
      <c r="B28" s="105" t="s">
        <v>447</v>
      </c>
      <c r="C28" s="170" t="s">
        <v>448</v>
      </c>
      <c r="D28" s="166">
        <f>92735-E28</f>
        <v>81035</v>
      </c>
      <c r="E28" s="167">
        <f>E32</f>
        <v>11700</v>
      </c>
      <c r="F28" s="166" t="s">
        <v>449</v>
      </c>
      <c r="G28" s="171">
        <v>3000</v>
      </c>
      <c r="H28" s="105" t="s">
        <v>398</v>
      </c>
      <c r="I28" s="105" t="s">
        <v>276</v>
      </c>
      <c r="J28" s="171"/>
      <c r="K28" s="172">
        <v>1500</v>
      </c>
      <c r="L28" s="172">
        <v>1650</v>
      </c>
      <c r="M28" s="172">
        <v>450</v>
      </c>
      <c r="N28" s="146" t="s">
        <v>70</v>
      </c>
      <c r="O28" s="183" t="s">
        <v>399</v>
      </c>
      <c r="P28" s="90"/>
      <c r="Q28" s="102" t="s">
        <v>70</v>
      </c>
      <c r="R28" s="144">
        <v>46035</v>
      </c>
      <c r="V28" s="148">
        <f>E28/(D28+E28)</f>
        <v>0.12616595675850542</v>
      </c>
      <c r="W28" s="127">
        <f t="shared" si="2"/>
        <v>27.011666666666667</v>
      </c>
      <c r="X28" s="127">
        <f t="shared" si="1"/>
        <v>15.345000000000001</v>
      </c>
    </row>
    <row r="29" spans="1:24" x14ac:dyDescent="0.2">
      <c r="A29" s="168"/>
      <c r="C29" s="164">
        <v>0.63472222222222219</v>
      </c>
      <c r="D29" s="168" t="s">
        <v>444</v>
      </c>
      <c r="E29" s="150"/>
      <c r="F29" s="168"/>
      <c r="G29" s="168"/>
      <c r="H29" s="168"/>
      <c r="I29" s="168"/>
      <c r="J29" s="168"/>
      <c r="N29" s="90"/>
      <c r="R29" s="66"/>
    </row>
    <row r="30" spans="1:24" x14ac:dyDescent="0.2">
      <c r="E30" s="150">
        <v>60000</v>
      </c>
      <c r="R30" s="66"/>
    </row>
    <row r="31" spans="1:24" x14ac:dyDescent="0.2">
      <c r="E31" s="150">
        <f>E30-SUM(E32:E35)</f>
        <v>20800</v>
      </c>
      <c r="F31" t="s">
        <v>400</v>
      </c>
      <c r="R31" s="66"/>
    </row>
    <row r="32" spans="1:24" x14ac:dyDescent="0.2">
      <c r="E32">
        <v>11700</v>
      </c>
      <c r="F32" t="s">
        <v>401</v>
      </c>
      <c r="R32" s="66"/>
    </row>
    <row r="33" spans="2:18" x14ac:dyDescent="0.2">
      <c r="D33" s="66"/>
      <c r="E33">
        <v>12500</v>
      </c>
      <c r="F33" t="s">
        <v>402</v>
      </c>
      <c r="R33" s="66"/>
    </row>
    <row r="34" spans="2:18" x14ac:dyDescent="0.2">
      <c r="E34">
        <v>11500</v>
      </c>
      <c r="F34" t="s">
        <v>200</v>
      </c>
      <c r="R34" s="66"/>
    </row>
    <row r="35" spans="2:18" x14ac:dyDescent="0.2">
      <c r="E35">
        <v>3500</v>
      </c>
      <c r="F35" t="s">
        <v>240</v>
      </c>
      <c r="R35" s="66"/>
    </row>
    <row r="40" spans="2:18" x14ac:dyDescent="0.2">
      <c r="B40" s="121"/>
    </row>
    <row r="41" spans="2:18" x14ac:dyDescent="0.2">
      <c r="B41" s="121"/>
      <c r="C41" s="154"/>
    </row>
    <row r="42" spans="2:18" x14ac:dyDescent="0.2">
      <c r="C42" s="84"/>
    </row>
  </sheetData>
  <autoFilter ref="A1:W35" xr:uid="{95E0E563-AABC-43CE-899D-1A6D9AA3C222}"/>
  <mergeCells count="1">
    <mergeCell ref="O18:O20"/>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02CD5F26F31A458CC40697F85B9514" ma:contentTypeVersion="14" ma:contentTypeDescription="Create a new document." ma:contentTypeScope="" ma:versionID="7969c338fafe6151b007d6909f2c29f4">
  <xsd:schema xmlns:xsd="http://www.w3.org/2001/XMLSchema" xmlns:xs="http://www.w3.org/2001/XMLSchema" xmlns:p="http://schemas.microsoft.com/office/2006/metadata/properties" xmlns:ns3="6e58923a-3fb5-490b-92f1-2d532ac3d631" xmlns:ns4="7069a50d-dd29-4f8a-8066-7cceb4195223" targetNamespace="http://schemas.microsoft.com/office/2006/metadata/properties" ma:root="true" ma:fieldsID="058ef0812b40fa6aa327a519229a27d6" ns3:_="" ns4:_="">
    <xsd:import namespace="6e58923a-3fb5-490b-92f1-2d532ac3d631"/>
    <xsd:import namespace="7069a50d-dd29-4f8a-8066-7cceb419522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58923a-3fb5-490b-92f1-2d532ac3d6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69a50d-dd29-4f8a-8066-7cceb41952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0FBEE1-BDDA-4C2E-AA92-3D87CACAA057}">
  <ds:schemaRefs>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 ds:uri="7069a50d-dd29-4f8a-8066-7cceb4195223"/>
    <ds:schemaRef ds:uri="6e58923a-3fb5-490b-92f1-2d532ac3d631"/>
    <ds:schemaRef ds:uri="http://purl.org/dc/elements/1.1/"/>
  </ds:schemaRefs>
</ds:datastoreItem>
</file>

<file path=customXml/itemProps2.xml><?xml version="1.0" encoding="utf-8"?>
<ds:datastoreItem xmlns:ds="http://schemas.openxmlformats.org/officeDocument/2006/customXml" ds:itemID="{E31C55FA-BC13-476A-974F-A572A0E3B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58923a-3fb5-490b-92f1-2d532ac3d631"/>
    <ds:schemaRef ds:uri="7069a50d-dd29-4f8a-8066-7cceb41952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D50F54-CAE3-4592-B24E-19BBB924CD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Allocation &amp; CF</vt:lpstr>
      <vt:lpstr>Beneficiary Contacts</vt:lpstr>
      <vt:lpstr>Targeted Beneficiary Funding</vt:lpstr>
      <vt:lpstr>Income</vt:lpstr>
      <vt:lpstr>Student Org Allocations</vt:lpstr>
      <vt:lpstr>SE 2018-2022</vt:lpstr>
      <vt:lpstr>SE 2022-2025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Crall, Brittany M.</dc:creator>
  <cp:keywords/>
  <dc:description/>
  <cp:lastModifiedBy>Microsoft Office User</cp:lastModifiedBy>
  <cp:revision/>
  <dcterms:created xsi:type="dcterms:W3CDTF">2022-01-05T17:50:48Z</dcterms:created>
  <dcterms:modified xsi:type="dcterms:W3CDTF">2022-05-05T20:39:01Z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0x0101006F02CD5F26F31A458CC40697F85B9514</vt:lpwstr>
  </property>
</Properties>
</file>